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https://uccsoffice365.sharepoint.com/sites/UCCSAccounting/Shared Documents/RBSA/1 - RBSA/"/>
    </mc:Choice>
  </mc:AlternateContent>
  <xr:revisionPtr revIDLastSave="28" documentId="13_ncr:1_{533A6DB6-28B1-4B81-885F-46B61485A77F}" xr6:coauthVersionLast="47" xr6:coauthVersionMax="47" xr10:uidLastSave="{D6442940-EB41-4C0E-A332-FF744038489A}"/>
  <bookViews>
    <workbookView xWindow="28680" yWindow="-105" windowWidth="29040" windowHeight="15840" tabRatio="913" xr2:uid="{00000000-000D-0000-FFFF-FFFF00000000}"/>
  </bookViews>
  <sheets>
    <sheet name="Introduction" sheetId="35" r:id="rId1"/>
    <sheet name="Certification" sheetId="14" r:id="rId2"/>
    <sheet name="Rate Sheet" sheetId="15" r:id="rId3"/>
    <sheet name="Reference" sheetId="16" r:id="rId4"/>
    <sheet name="Sample Sales Worksheet" sheetId="38" r:id="rId5"/>
    <sheet name="Sample Costs Worksheet" sheetId="39" r:id="rId6"/>
    <sheet name="Rate Sheet - Sample" sheetId="37" r:id="rId7"/>
    <sheet name="Control" sheetId="33" state="hidden" r:id="rId8"/>
  </sheets>
  <externalReferences>
    <externalReference r:id="rId9"/>
  </externalReferences>
  <definedNames>
    <definedName name="ExtGain">'Rate Sheet - Sample'!$BA$150</definedName>
    <definedName name="_xlnm.Print_Area" localSheetId="1">Certification!$B$1:$O$47</definedName>
    <definedName name="_xlnm.Print_Area" localSheetId="0">Introduction!$A$1:$G$84</definedName>
    <definedName name="_xlnm.Print_Area" localSheetId="2">'Rate Sheet'!$A$1:$T$186</definedName>
    <definedName name="_xlnm.Print_Area" localSheetId="6">'Rate Sheet - Sample'!$A$1:$T$187</definedName>
    <definedName name="_xlnm.Print_Titles" localSheetId="2">'Rate Sheet'!$1:$4</definedName>
    <definedName name="SampleSwitch">'Rate Sheet - Sample'!$L$11</definedName>
    <definedName name="switch">'Rate Sheet'!$L$11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5" l="1"/>
  <c r="F139" i="15"/>
  <c r="A1" i="37"/>
  <c r="A1" i="15" l="1"/>
  <c r="B1" i="35"/>
  <c r="B1" i="14"/>
  <c r="D36" i="39" l="1"/>
  <c r="E32" i="39"/>
  <c r="E31" i="39"/>
  <c r="E30" i="39"/>
  <c r="E29" i="39"/>
  <c r="E33" i="39" s="1"/>
  <c r="B46" i="39" s="1"/>
  <c r="D25" i="39"/>
  <c r="D21" i="39"/>
  <c r="D20" i="39"/>
  <c r="D19" i="39"/>
  <c r="D18" i="39"/>
  <c r="D17" i="39"/>
  <c r="F13" i="39"/>
  <c r="B44" i="39" s="1"/>
  <c r="G12" i="39"/>
  <c r="G11" i="39"/>
  <c r="G10" i="39"/>
  <c r="G9" i="39"/>
  <c r="G8" i="39"/>
  <c r="A3" i="39"/>
  <c r="A2" i="39"/>
  <c r="A1" i="39"/>
  <c r="F13" i="38"/>
  <c r="F16" i="16"/>
  <c r="F7" i="16"/>
  <c r="F2" i="16"/>
  <c r="F11" i="16" s="1"/>
  <c r="J88" i="15" s="1"/>
  <c r="C10" i="33"/>
  <c r="J2" i="16" s="1"/>
  <c r="C9" i="33"/>
  <c r="I2" i="16" s="1"/>
  <c r="C8" i="33"/>
  <c r="C7" i="33"/>
  <c r="C5" i="33"/>
  <c r="G7" i="16" l="1"/>
  <c r="K17" i="15"/>
  <c r="H7" i="16"/>
  <c r="P17" i="15"/>
  <c r="B45" i="39"/>
  <c r="D22" i="39"/>
  <c r="B48" i="39"/>
  <c r="B40" i="39"/>
  <c r="B41" i="39" s="1"/>
  <c r="B47" i="39" s="1"/>
  <c r="I11" i="16"/>
  <c r="I3" i="16"/>
  <c r="J4" i="16"/>
  <c r="J3" i="16"/>
  <c r="G2" i="16"/>
  <c r="H2" i="16"/>
  <c r="H9" i="16" s="1"/>
  <c r="I7" i="16"/>
  <c r="J7" i="16"/>
  <c r="G3" i="16"/>
  <c r="F10" i="16"/>
  <c r="J87" i="15" s="1"/>
  <c r="H15" i="16"/>
  <c r="I4" i="16"/>
  <c r="I9" i="16"/>
  <c r="G10" i="16"/>
  <c r="I12" i="16"/>
  <c r="G12" i="16"/>
  <c r="I13" i="16"/>
  <c r="G13" i="16"/>
  <c r="I14" i="16"/>
  <c r="I15" i="16"/>
  <c r="F4" i="16"/>
  <c r="F14" i="16"/>
  <c r="H8" i="16"/>
  <c r="I8" i="16"/>
  <c r="F12" i="16"/>
  <c r="J89" i="15" s="1"/>
  <c r="F13" i="16"/>
  <c r="J90" i="15" s="1"/>
  <c r="G14" i="16"/>
  <c r="G4" i="16"/>
  <c r="H10" i="16"/>
  <c r="I10" i="16"/>
  <c r="F9" i="16"/>
  <c r="H14" i="16"/>
  <c r="H12" i="16"/>
  <c r="H4" i="16"/>
  <c r="J92" i="15" l="1"/>
  <c r="J91" i="15"/>
  <c r="H11" i="16"/>
  <c r="H13" i="16"/>
  <c r="H3" i="16"/>
  <c r="L169" i="37"/>
  <c r="B169" i="37"/>
  <c r="B162" i="37"/>
  <c r="B161" i="37"/>
  <c r="B159" i="37"/>
  <c r="B158" i="37"/>
  <c r="B132" i="37"/>
  <c r="B120" i="37"/>
  <c r="B119" i="37"/>
  <c r="B73" i="37"/>
  <c r="E66" i="37"/>
  <c r="E64" i="37"/>
  <c r="B29" i="37"/>
  <c r="Q18" i="37"/>
  <c r="P18" i="37"/>
  <c r="L18" i="37"/>
  <c r="K18" i="37"/>
  <c r="G18" i="37"/>
  <c r="F18" i="37"/>
  <c r="H24" i="15" l="1"/>
  <c r="L167" i="37"/>
  <c r="J167" i="37"/>
  <c r="H167" i="37"/>
  <c r="F167" i="37"/>
  <c r="D167" i="37"/>
  <c r="B167" i="37"/>
  <c r="D163" i="37"/>
  <c r="K161" i="37"/>
  <c r="J159" i="37"/>
  <c r="H159" i="37"/>
  <c r="F159" i="37"/>
  <c r="D159" i="37"/>
  <c r="L154" i="37"/>
  <c r="I145" i="37"/>
  <c r="E145" i="37"/>
  <c r="Q124" i="37"/>
  <c r="V123" i="37"/>
  <c r="U123" i="37"/>
  <c r="Q123" i="37"/>
  <c r="L116" i="37"/>
  <c r="J84" i="37"/>
  <c r="L83" i="37"/>
  <c r="L73" i="37"/>
  <c r="R67" i="37"/>
  <c r="J158" i="37" s="1"/>
  <c r="P67" i="37"/>
  <c r="B140" i="37" s="1"/>
  <c r="N67" i="37"/>
  <c r="F158" i="37" s="1"/>
  <c r="L67" i="37"/>
  <c r="D158" i="37" s="1"/>
  <c r="K66" i="37"/>
  <c r="K64" i="37"/>
  <c r="L65" i="37" s="1"/>
  <c r="R53" i="37"/>
  <c r="R43" i="37"/>
  <c r="R32" i="37"/>
  <c r="T26" i="37"/>
  <c r="R26" i="37"/>
  <c r="O26" i="37"/>
  <c r="M26" i="37"/>
  <c r="J26" i="37"/>
  <c r="H26" i="37"/>
  <c r="T25" i="37"/>
  <c r="R25" i="37"/>
  <c r="O25" i="37"/>
  <c r="M25" i="37"/>
  <c r="J25" i="37"/>
  <c r="H25" i="37"/>
  <c r="T24" i="37"/>
  <c r="R24" i="37"/>
  <c r="O24" i="37"/>
  <c r="M24" i="37"/>
  <c r="J24" i="37"/>
  <c r="H24" i="37"/>
  <c r="T23" i="37"/>
  <c r="Q36" i="37" s="1"/>
  <c r="R23" i="37"/>
  <c r="O23" i="37"/>
  <c r="L36" i="37" s="1"/>
  <c r="M23" i="37"/>
  <c r="J23" i="37"/>
  <c r="G36" i="37" s="1"/>
  <c r="H23" i="37"/>
  <c r="H14" i="37"/>
  <c r="M9" i="37"/>
  <c r="D9" i="37"/>
  <c r="C7" i="37"/>
  <c r="L7" i="15"/>
  <c r="C7" i="15" s="1"/>
  <c r="F7" i="15"/>
  <c r="I7" i="15"/>
  <c r="D161" i="37" l="1"/>
  <c r="J161" i="37"/>
  <c r="R34" i="37"/>
  <c r="R27" i="37"/>
  <c r="F161" i="37"/>
  <c r="H34" i="37"/>
  <c r="I38" i="37" s="1"/>
  <c r="H27" i="37"/>
  <c r="M27" i="37"/>
  <c r="M34" i="37"/>
  <c r="N38" i="37" s="1"/>
  <c r="M33" i="37"/>
  <c r="M44" i="37" s="1"/>
  <c r="M54" i="37" s="1"/>
  <c r="R45" i="37"/>
  <c r="S38" i="37"/>
  <c r="J139" i="37"/>
  <c r="R33" i="37"/>
  <c r="R35" i="37" s="1"/>
  <c r="P35" i="37" s="1"/>
  <c r="B138" i="37"/>
  <c r="B142" i="37"/>
  <c r="Q5" i="37"/>
  <c r="H158" i="37"/>
  <c r="H161" i="37" s="1"/>
  <c r="H33" i="37"/>
  <c r="B136" i="37"/>
  <c r="N126" i="37"/>
  <c r="U123" i="15"/>
  <c r="V123" i="15"/>
  <c r="M45" i="37" l="1"/>
  <c r="M55" i="37" s="1"/>
  <c r="H45" i="37"/>
  <c r="H55" i="37" s="1"/>
  <c r="F141" i="37"/>
  <c r="C14" i="37"/>
  <c r="C5" i="37"/>
  <c r="H44" i="37"/>
  <c r="H54" i="37" s="1"/>
  <c r="H163" i="37"/>
  <c r="N154" i="37"/>
  <c r="F163" i="37"/>
  <c r="F135" i="37"/>
  <c r="J163" i="37"/>
  <c r="J141" i="37"/>
  <c r="Q37" i="37"/>
  <c r="S37" i="37" s="1"/>
  <c r="S48" i="37"/>
  <c r="R55" i="37"/>
  <c r="S36" i="37"/>
  <c r="R44" i="37"/>
  <c r="J26" i="15"/>
  <c r="J25" i="15"/>
  <c r="J24" i="15"/>
  <c r="J23" i="15"/>
  <c r="O26" i="15"/>
  <c r="O25" i="15"/>
  <c r="O24" i="15"/>
  <c r="O23" i="15"/>
  <c r="T26" i="15"/>
  <c r="T25" i="15"/>
  <c r="T24" i="15"/>
  <c r="T23" i="15"/>
  <c r="N48" i="37" l="1"/>
  <c r="Q38" i="37"/>
  <c r="Q40" i="37" s="1"/>
  <c r="I48" i="37"/>
  <c r="R54" i="37"/>
  <c r="R46" i="37"/>
  <c r="L161" i="37"/>
  <c r="L163" i="37"/>
  <c r="R56" i="37" l="1"/>
  <c r="P46" i="37"/>
  <c r="Q47" i="37"/>
  <c r="S47" i="37" s="1"/>
  <c r="R20" i="33"/>
  <c r="R19" i="33"/>
  <c r="R18" i="33"/>
  <c r="R17" i="33"/>
  <c r="R16" i="33"/>
  <c r="R15" i="33"/>
  <c r="R14" i="33"/>
  <c r="J13" i="16"/>
  <c r="O9" i="33"/>
  <c r="P17" i="37"/>
  <c r="K17" i="37"/>
  <c r="F17" i="37"/>
  <c r="J120" i="37"/>
  <c r="L169" i="15"/>
  <c r="B169" i="15"/>
  <c r="L167" i="15"/>
  <c r="B167" i="15"/>
  <c r="D163" i="15"/>
  <c r="B162" i="15"/>
  <c r="K161" i="15"/>
  <c r="B161" i="15"/>
  <c r="J159" i="15"/>
  <c r="H159" i="15"/>
  <c r="F159" i="15"/>
  <c r="D159" i="15"/>
  <c r="B159" i="15"/>
  <c r="B158" i="15"/>
  <c r="L154" i="15"/>
  <c r="B132" i="15"/>
  <c r="Q124" i="15"/>
  <c r="Q123" i="15"/>
  <c r="B120" i="15"/>
  <c r="B119" i="15"/>
  <c r="L116" i="15"/>
  <c r="J84" i="15"/>
  <c r="L83" i="15"/>
  <c r="L73" i="15"/>
  <c r="B73" i="15"/>
  <c r="R67" i="15"/>
  <c r="J158" i="15" s="1"/>
  <c r="P67" i="15"/>
  <c r="B140" i="15" s="1"/>
  <c r="N67" i="15"/>
  <c r="F158" i="15" s="1"/>
  <c r="L67" i="15"/>
  <c r="B136" i="15" s="1"/>
  <c r="K66" i="15"/>
  <c r="E66" i="15"/>
  <c r="K64" i="15"/>
  <c r="E64" i="15"/>
  <c r="R53" i="15"/>
  <c r="R43" i="15"/>
  <c r="L36" i="15"/>
  <c r="G36" i="15"/>
  <c r="R32" i="15"/>
  <c r="B29" i="15"/>
  <c r="R26" i="15"/>
  <c r="M26" i="15"/>
  <c r="H26" i="15"/>
  <c r="R25" i="15"/>
  <c r="M25" i="15"/>
  <c r="H25" i="15"/>
  <c r="H34" i="15" s="1"/>
  <c r="I38" i="15" s="1"/>
  <c r="R24" i="15"/>
  <c r="M24" i="15"/>
  <c r="Q36" i="15"/>
  <c r="R23" i="15"/>
  <c r="R33" i="15" s="1"/>
  <c r="M23" i="15"/>
  <c r="M33" i="15" s="1"/>
  <c r="M44" i="15" s="1"/>
  <c r="M54" i="15" s="1"/>
  <c r="H23" i="15"/>
  <c r="Q18" i="15"/>
  <c r="P18" i="15"/>
  <c r="L18" i="15"/>
  <c r="K18" i="15"/>
  <c r="G18" i="15"/>
  <c r="F18" i="15"/>
  <c r="H14" i="15"/>
  <c r="M9" i="15"/>
  <c r="D9" i="15"/>
  <c r="R13" i="33" l="1"/>
  <c r="F8" i="16"/>
  <c r="R9" i="33"/>
  <c r="F3" i="16"/>
  <c r="J119" i="37" s="1"/>
  <c r="L65" i="15"/>
  <c r="H27" i="15"/>
  <c r="J161" i="15"/>
  <c r="BA150" i="37"/>
  <c r="BA150" i="15"/>
  <c r="J10" i="16"/>
  <c r="J14" i="16"/>
  <c r="F161" i="15"/>
  <c r="H33" i="15"/>
  <c r="H44" i="15" s="1"/>
  <c r="H54" i="15" s="1"/>
  <c r="L90" i="37"/>
  <c r="J90" i="37"/>
  <c r="L90" i="15"/>
  <c r="J11" i="16"/>
  <c r="F15" i="16"/>
  <c r="J15" i="16"/>
  <c r="J91" i="37"/>
  <c r="J8" i="16"/>
  <c r="G11" i="16"/>
  <c r="J12" i="16"/>
  <c r="G15" i="16"/>
  <c r="L87" i="37"/>
  <c r="J87" i="37"/>
  <c r="L87" i="15"/>
  <c r="L91" i="15"/>
  <c r="J9" i="16"/>
  <c r="M34" i="15"/>
  <c r="N38" i="15" s="1"/>
  <c r="M19" i="37"/>
  <c r="P56" i="37"/>
  <c r="Q48" i="37"/>
  <c r="Q50" i="37" s="1"/>
  <c r="N126" i="15"/>
  <c r="D158" i="15"/>
  <c r="D161" i="15" s="1"/>
  <c r="B138" i="15"/>
  <c r="J137" i="15" s="1"/>
  <c r="J139" i="15"/>
  <c r="J163" i="15"/>
  <c r="H163" i="15"/>
  <c r="F163" i="15"/>
  <c r="F135" i="15"/>
  <c r="B142" i="15"/>
  <c r="F141" i="15" s="1"/>
  <c r="H158" i="15"/>
  <c r="H161" i="15" s="1"/>
  <c r="M27" i="15"/>
  <c r="S36" i="15"/>
  <c r="H45" i="15"/>
  <c r="H55" i="15" s="1"/>
  <c r="R34" i="15"/>
  <c r="R45" i="15" s="1"/>
  <c r="R55" i="15" s="1"/>
  <c r="R27" i="15"/>
  <c r="R44" i="15"/>
  <c r="R54" i="15" s="1"/>
  <c r="Q5" i="15"/>
  <c r="C14" i="15" s="1"/>
  <c r="J120" i="15"/>
  <c r="J85" i="15" l="1"/>
  <c r="J86" i="15"/>
  <c r="P58" i="37"/>
  <c r="L91" i="37"/>
  <c r="J119" i="15"/>
  <c r="C5" i="15"/>
  <c r="L89" i="37"/>
  <c r="J89" i="37"/>
  <c r="L89" i="15"/>
  <c r="L92" i="37"/>
  <c r="J92" i="37"/>
  <c r="L92" i="15"/>
  <c r="L85" i="37"/>
  <c r="J85" i="37"/>
  <c r="L85" i="15"/>
  <c r="L88" i="37"/>
  <c r="J88" i="37"/>
  <c r="L88" i="15"/>
  <c r="L86" i="37"/>
  <c r="J86" i="37"/>
  <c r="L86" i="15"/>
  <c r="M45" i="15"/>
  <c r="N48" i="15" s="1"/>
  <c r="M53" i="37"/>
  <c r="N36" i="37"/>
  <c r="M43" i="37"/>
  <c r="M46" i="37" s="1"/>
  <c r="M32" i="37"/>
  <c r="M35" i="37" s="1"/>
  <c r="N154" i="15"/>
  <c r="L163" i="15" s="1"/>
  <c r="J141" i="15"/>
  <c r="I48" i="15"/>
  <c r="S48" i="15"/>
  <c r="R46" i="15"/>
  <c r="R56" i="15" s="1"/>
  <c r="R35" i="15"/>
  <c r="Q37" i="15" s="1"/>
  <c r="S37" i="15" s="1"/>
  <c r="Q38" i="15" s="1"/>
  <c r="Q40" i="15" s="1"/>
  <c r="S38" i="15"/>
  <c r="L93" i="15" l="1"/>
  <c r="L94" i="15" s="1"/>
  <c r="L118" i="15" s="1"/>
  <c r="L93" i="37"/>
  <c r="L94" i="37" s="1"/>
  <c r="L118" i="37" s="1"/>
  <c r="M55" i="15"/>
  <c r="K35" i="37"/>
  <c r="L37" i="37"/>
  <c r="N37" i="37" s="1"/>
  <c r="L38" i="37" s="1"/>
  <c r="L40" i="37" s="1"/>
  <c r="K46" i="37"/>
  <c r="M56" i="37"/>
  <c r="L47" i="37"/>
  <c r="N47" i="37" s="1"/>
  <c r="L48" i="37" s="1"/>
  <c r="L161" i="15"/>
  <c r="Q47" i="15"/>
  <c r="S47" i="15" s="1"/>
  <c r="P46" i="15"/>
  <c r="P35" i="15"/>
  <c r="P56" i="15"/>
  <c r="M19" i="15"/>
  <c r="N36" i="15" s="1"/>
  <c r="L120" i="37" l="1"/>
  <c r="L119" i="37"/>
  <c r="L120" i="15"/>
  <c r="L119" i="15"/>
  <c r="K56" i="37"/>
  <c r="H19" i="37"/>
  <c r="L50" i="37"/>
  <c r="K58" i="37"/>
  <c r="Q48" i="15"/>
  <c r="Q50" i="15" s="1"/>
  <c r="M53" i="15"/>
  <c r="M43" i="15"/>
  <c r="M46" i="15" s="1"/>
  <c r="M32" i="15"/>
  <c r="M35" i="15" s="1"/>
  <c r="L122" i="15" l="1"/>
  <c r="L135" i="15" s="1"/>
  <c r="N135" i="15" s="1"/>
  <c r="L122" i="37"/>
  <c r="N169" i="37" s="1"/>
  <c r="H43" i="37"/>
  <c r="H46" i="37" s="1"/>
  <c r="I36" i="37"/>
  <c r="H32" i="37"/>
  <c r="H35" i="37" s="1"/>
  <c r="H53" i="37"/>
  <c r="P58" i="15"/>
  <c r="L47" i="15"/>
  <c r="N47" i="15" s="1"/>
  <c r="L48" i="15" s="1"/>
  <c r="K46" i="15"/>
  <c r="M56" i="15"/>
  <c r="K35" i="15"/>
  <c r="L37" i="15"/>
  <c r="N37" i="15" s="1"/>
  <c r="L38" i="15" s="1"/>
  <c r="L40" i="15" s="1"/>
  <c r="N169" i="15" l="1"/>
  <c r="E144" i="15"/>
  <c r="F137" i="15" s="1"/>
  <c r="L137" i="15" s="1"/>
  <c r="J162" i="15"/>
  <c r="H162" i="15"/>
  <c r="L124" i="15"/>
  <c r="L127" i="15" s="1"/>
  <c r="D162" i="15"/>
  <c r="F162" i="15"/>
  <c r="L124" i="37"/>
  <c r="L127" i="37" s="1"/>
  <c r="J162" i="37"/>
  <c r="D162" i="37"/>
  <c r="H162" i="37"/>
  <c r="E144" i="37"/>
  <c r="F162" i="37"/>
  <c r="L141" i="37"/>
  <c r="N141" i="37" s="1"/>
  <c r="L135" i="37"/>
  <c r="F35" i="37"/>
  <c r="G37" i="37"/>
  <c r="I37" i="37" s="1"/>
  <c r="G38" i="37" s="1"/>
  <c r="H56" i="37"/>
  <c r="L155" i="37"/>
  <c r="F46" i="37"/>
  <c r="G47" i="37"/>
  <c r="I47" i="37" s="1"/>
  <c r="G48" i="37" s="1"/>
  <c r="C144" i="37"/>
  <c r="F139" i="37" s="1"/>
  <c r="L139" i="37" s="1"/>
  <c r="N139" i="37" s="1"/>
  <c r="H19" i="15"/>
  <c r="I36" i="15" s="1"/>
  <c r="K56" i="15"/>
  <c r="L50" i="15"/>
  <c r="K58" i="15"/>
  <c r="N137" i="15" l="1"/>
  <c r="L162" i="15"/>
  <c r="J135" i="37"/>
  <c r="F137" i="37"/>
  <c r="L162" i="37"/>
  <c r="N135" i="37"/>
  <c r="N155" i="37"/>
  <c r="F56" i="37"/>
  <c r="G144" i="37"/>
  <c r="F58" i="37"/>
  <c r="Q14" i="37" s="1"/>
  <c r="G40" i="37"/>
  <c r="H53" i="15"/>
  <c r="H43" i="15"/>
  <c r="H46" i="15" s="1"/>
  <c r="H32" i="15"/>
  <c r="H35" i="15" s="1"/>
  <c r="C61" i="37" l="1"/>
  <c r="Q61" i="37"/>
  <c r="C70" i="37" s="1"/>
  <c r="J137" i="37"/>
  <c r="L137" i="37"/>
  <c r="P135" i="37"/>
  <c r="F46" i="15"/>
  <c r="L155" i="15"/>
  <c r="N155" i="15" s="1"/>
  <c r="H56" i="15"/>
  <c r="G47" i="15"/>
  <c r="I47" i="15" s="1"/>
  <c r="G48" i="15" s="1"/>
  <c r="G37" i="15"/>
  <c r="I37" i="15" s="1"/>
  <c r="G38" i="15" s="1"/>
  <c r="F35" i="15"/>
  <c r="P137" i="37" l="1"/>
  <c r="M144" i="37"/>
  <c r="S149" i="37" s="1"/>
  <c r="I144" i="37"/>
  <c r="P139" i="37"/>
  <c r="L143" i="37"/>
  <c r="N143" i="37" s="1"/>
  <c r="P141" i="37"/>
  <c r="N137" i="37"/>
  <c r="Q70" i="37"/>
  <c r="C130" i="37" s="1"/>
  <c r="G40" i="15"/>
  <c r="F58" i="15"/>
  <c r="Q14" i="15" s="1"/>
  <c r="C61" i="15" s="1"/>
  <c r="F56" i="15"/>
  <c r="G144" i="15"/>
  <c r="J164" i="37" l="1"/>
  <c r="J165" i="37" s="1"/>
  <c r="F164" i="37"/>
  <c r="F165" i="37" s="1"/>
  <c r="R149" i="37"/>
  <c r="B149" i="37"/>
  <c r="H164" i="37"/>
  <c r="H165" i="37" s="1"/>
  <c r="B147" i="37"/>
  <c r="B148" i="37"/>
  <c r="K149" i="37"/>
  <c r="F130" i="37" s="1"/>
  <c r="Q130" i="37" s="1"/>
  <c r="C152" i="37" s="1"/>
  <c r="Q61" i="15"/>
  <c r="C70" i="15" l="1"/>
  <c r="Q70" i="15"/>
  <c r="C130" i="15" s="1"/>
  <c r="L172" i="37"/>
  <c r="D164" i="37"/>
  <c r="L164" i="37" s="1"/>
  <c r="L177" i="37" s="1"/>
  <c r="B178" i="37" s="1"/>
  <c r="E145" i="15"/>
  <c r="D165" i="37" l="1"/>
  <c r="L165" i="37" s="1"/>
  <c r="L171" i="37" s="1"/>
  <c r="L174" i="37" s="1"/>
  <c r="N174" i="37" s="1"/>
  <c r="D167" i="15"/>
  <c r="C144" i="15"/>
  <c r="N171" i="37" l="1"/>
  <c r="J135" i="15"/>
  <c r="L139" i="15" l="1"/>
  <c r="N139" i="15" s="1"/>
  <c r="L141" i="15"/>
  <c r="N141" i="15" s="1"/>
  <c r="P135" i="15"/>
  <c r="P137" i="15" l="1"/>
  <c r="P139" i="15"/>
  <c r="P141" i="15"/>
  <c r="I145" i="15"/>
  <c r="M144" i="15" s="1"/>
  <c r="J164" i="15" s="1"/>
  <c r="J165" i="15" s="1"/>
  <c r="L143" i="15"/>
  <c r="N143" i="15" s="1"/>
  <c r="I144" i="15" l="1"/>
  <c r="K149" i="15" s="1"/>
  <c r="F130" i="15" s="1"/>
  <c r="Q130" i="15" s="1"/>
  <c r="C152" i="15" s="1"/>
  <c r="B149" i="15"/>
  <c r="R149" i="15"/>
  <c r="B147" i="15"/>
  <c r="H164" i="15"/>
  <c r="H165" i="15" s="1"/>
  <c r="F164" i="15"/>
  <c r="F165" i="15" s="1"/>
  <c r="S149" i="15"/>
  <c r="B148" i="15" l="1"/>
  <c r="D164" i="15"/>
  <c r="D165" i="15" s="1"/>
  <c r="L165" i="15" s="1"/>
  <c r="L171" i="15" s="1"/>
  <c r="L172" i="15"/>
  <c r="F167" i="15"/>
  <c r="J167" i="15"/>
  <c r="H167" i="15"/>
  <c r="L164" i="15" l="1"/>
  <c r="L177" i="15" s="1"/>
  <c r="B178" i="15" s="1"/>
  <c r="N171" i="15"/>
  <c r="L174" i="15"/>
  <c r="N17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W. White</author>
    <author>Leila M McCamey</author>
  </authors>
  <commentList>
    <comment ref="B21" authorId="0" shapeId="0" xr:uid="{00000000-0006-0000-0200-000001000000}">
      <text>
        <r>
          <rPr>
            <sz val="9"/>
            <color indexed="81"/>
            <rFont val="Tahoma"/>
            <family val="2"/>
          </rPr>
          <t>From departmental funds (e.g. general fund) or from related fund 78 reserves.  Subsidies can also be used to cover unallowable costs (e.g. PIE).</t>
        </r>
      </text>
    </comment>
    <comment ref="B23" authorId="1" shapeId="0" xr:uid="{00000000-0006-0000-0200-000002000000}">
      <text>
        <r>
          <rPr>
            <b/>
            <sz val="9"/>
            <color indexed="81"/>
            <rFont val="Tahoma"/>
            <family val="2"/>
          </rPr>
          <t>Internal Revenue:</t>
        </r>
        <r>
          <rPr>
            <sz val="9"/>
            <color indexed="81"/>
            <rFont val="Tahoma"/>
            <family val="2"/>
          </rPr>
          <t xml:space="preserve">
Received from sales to another department within the institution.  Internal revenues may be recorded in the account codes for ID Revenue (390xxx),  IN Revenue (380xxx), or Auxiliary Enterprise Revenue (280xxx).  See the </t>
        </r>
        <r>
          <rPr>
            <b/>
            <sz val="9"/>
            <color indexed="81"/>
            <rFont val="Tahoma"/>
            <family val="2"/>
          </rPr>
          <t>Reference</t>
        </r>
        <r>
          <rPr>
            <sz val="9"/>
            <color indexed="81"/>
            <rFont val="Tahoma"/>
            <family val="2"/>
          </rPr>
          <t xml:space="preserve"> tab for guidance on which type of revenue to use.</t>
        </r>
      </text>
    </comment>
    <comment ref="F23" authorId="0" shapeId="0" xr:uid="{00000000-0006-0000-0200-000003000000}">
      <text>
        <r>
          <rPr>
            <b/>
            <sz val="9"/>
            <color indexed="81"/>
            <rFont val="Tahoma"/>
            <family val="2"/>
          </rPr>
          <t>Units Sold:</t>
        </r>
        <r>
          <rPr>
            <sz val="9"/>
            <color indexed="81"/>
            <rFont val="Tahoma"/>
            <family val="2"/>
          </rPr>
          <t xml:space="preserve">
In the absence of unit-level records, you may make estimates of unit counts here that map accurately to actual rates and revenue totals.  In other words, the estimated units sold multiplied by the actual price per unit should equal the projected total revenue for the current year.</t>
        </r>
      </text>
    </comment>
    <comment ref="K23" authorId="0" shapeId="0" xr:uid="{00000000-0006-0000-0200-000004000000}">
      <text>
        <r>
          <rPr>
            <b/>
            <sz val="9"/>
            <color indexed="81"/>
            <rFont val="Tahoma"/>
            <family val="2"/>
          </rPr>
          <t>Units Sold:</t>
        </r>
        <r>
          <rPr>
            <sz val="9"/>
            <color indexed="81"/>
            <rFont val="Tahoma"/>
            <family val="2"/>
          </rPr>
          <t xml:space="preserve">
In the absence of unit-level records, you may make estimates of unit counts here that map accurately to actual rates and revenue totals.  In other words, the estimated units sold multiplied by the actual price per unit should equal the actual total revenue for this prior year.</t>
        </r>
      </text>
    </comment>
    <comment ref="P23" authorId="0" shapeId="0" xr:uid="{00000000-0006-0000-0200-000005000000}">
      <text>
        <r>
          <rPr>
            <b/>
            <sz val="9"/>
            <color indexed="81"/>
            <rFont val="Tahoma"/>
            <family val="2"/>
          </rPr>
          <t>Units Sold:</t>
        </r>
        <r>
          <rPr>
            <sz val="9"/>
            <color indexed="81"/>
            <rFont val="Tahoma"/>
            <family val="2"/>
          </rPr>
          <t xml:space="preserve">
In the absence of unit-level records, you may make estimates of unit counts here that map accurately to actual rates and revenue totals.  In other words, the estimated units sold multiplied by the actual price per unit should equal the actual total revenue for this prior year.</t>
        </r>
      </text>
    </comment>
    <comment ref="B24" authorId="1" shapeId="0" xr:uid="{00000000-0006-0000-0200-000006000000}">
      <text>
        <r>
          <rPr>
            <b/>
            <sz val="9"/>
            <color indexed="81"/>
            <rFont val="Tahoma"/>
            <family val="2"/>
          </rPr>
          <t>External Federal Revenue:</t>
        </r>
        <r>
          <rPr>
            <sz val="9"/>
            <color indexed="81"/>
            <rFont val="Tahoma"/>
            <family val="2"/>
          </rPr>
          <t xml:space="preserve">
Received from federal agencies or labs outside the institution.  External federal revenues may be recorded in the account codes for SSEA Revenue (250xxx), Auxiliary Enterprise Revenue (280xxx), or Miscellaneous Revenue (325xxx).  See the </t>
        </r>
        <r>
          <rPr>
            <b/>
            <sz val="9"/>
            <color indexed="81"/>
            <rFont val="Tahoma"/>
            <family val="2"/>
          </rPr>
          <t>Reference</t>
        </r>
        <r>
          <rPr>
            <sz val="9"/>
            <color indexed="81"/>
            <rFont val="Tahoma"/>
            <family val="2"/>
          </rPr>
          <t xml:space="preserve"> tab for guidance on which type of revenue to use.</t>
        </r>
      </text>
    </comment>
    <comment ref="B25" authorId="0" shapeId="0" xr:uid="{00000000-0006-0000-0200-000007000000}">
      <text>
        <r>
          <rPr>
            <b/>
            <sz val="9"/>
            <color indexed="81"/>
            <rFont val="Tahoma"/>
            <family val="2"/>
          </rPr>
          <t>External Non-profit Revenue:</t>
        </r>
        <r>
          <rPr>
            <sz val="9"/>
            <color indexed="81"/>
            <rFont val="Tahoma"/>
            <family val="2"/>
          </rPr>
          <t xml:space="preserve">
Received from non-profit entities outside the institution.  External non-profit revenues may be recorded in the account codes for SSEA Revenue (250xxx), Auxiliary Enterprise Revenue (280xxx), or Miscellaneous Revenue (325xxx).  See the Reference tab for guidance on which type of revenue to use.</t>
        </r>
      </text>
    </comment>
    <comment ref="B26" authorId="0" shapeId="0" xr:uid="{00000000-0006-0000-0200-000008000000}">
      <text>
        <r>
          <rPr>
            <b/>
            <sz val="9"/>
            <color indexed="81"/>
            <rFont val="Tahoma"/>
            <family val="2"/>
          </rPr>
          <t>External Corporate Revenue:</t>
        </r>
        <r>
          <rPr>
            <sz val="9"/>
            <color indexed="81"/>
            <rFont val="Tahoma"/>
            <family val="2"/>
          </rPr>
          <t xml:space="preserve">
Received from students, industry, or other sources outside the institution.  External corporate revenues may be recorded in the account codes for SSEA Revenue (250xxx), Auxiliary Enterprise Revenue (280xxx), or Miscellaneous Revenue (325xxx).  See the Reference tab for guidance on which type of revenue to use.</t>
        </r>
      </text>
    </comment>
    <comment ref="B40" authorId="0" shapeId="0" xr:uid="{00000000-0006-0000-0200-000009000000}">
      <text>
        <r>
          <rPr>
            <sz val="9"/>
            <color indexed="81"/>
            <rFont val="Tahoma"/>
            <family val="2"/>
          </rPr>
          <t>This row is for operating transfers resulting from external sales.  Do not include depreciation transfers for capital equipment.</t>
        </r>
      </text>
    </comment>
    <comment ref="B50" authorId="0" shapeId="0" xr:uid="{00000000-0006-0000-0200-00000A000000}">
      <text>
        <r>
          <rPr>
            <sz val="9"/>
            <color indexed="81"/>
            <rFont val="Tahoma"/>
            <family val="2"/>
          </rPr>
          <t>This row is for operating transfers resulting from external sales.  Do not include depreciation transfers for capital equipment.</t>
        </r>
      </text>
    </comment>
    <comment ref="B74" authorId="1" shapeId="0" xr:uid="{00000000-0006-0000-0200-00000B000000}">
      <text>
        <r>
          <rPr>
            <sz val="9"/>
            <color indexed="81"/>
            <rFont val="Tahoma"/>
            <family val="2"/>
          </rPr>
          <t>Enter the total salary for all efforts provided by RBSA personnel.  Portions of salary paid by department on behalf of the activity should be documented on the subsidy line.</t>
        </r>
      </text>
    </comment>
    <comment ref="B123" authorId="1" shapeId="0" xr:uid="{00000000-0006-0000-0200-00000C000000}">
      <text>
        <r>
          <rPr>
            <b/>
            <sz val="9"/>
            <color indexed="81"/>
            <rFont val="Tahoma"/>
            <family val="2"/>
          </rPr>
          <t>Unfunded Unallowable Expenses:</t>
        </r>
        <r>
          <rPr>
            <sz val="9"/>
            <color indexed="81"/>
            <rFont val="Tahoma"/>
            <family val="2"/>
          </rPr>
          <t xml:space="preserve">
Enter the total amount, as a positive number, for unallowable expenses that will not be funded by a subsidy or profit from external sales.  Examples of unallowable costs include:
- Bad debt expense
- Donations and contributions
- Entertainment costs
- Financial aid
- Fines and penalties
- PIE Charges
- Product advertising
- Promotional items and memorabilia
- Social and civic activity expenses (memberships, professional activity costs, subscriptions, etc.)
- Student activity costs
- Other costs deemed unallowable by OMB Circular A-21</t>
        </r>
      </text>
    </comment>
    <comment ref="B125" authorId="1" shapeId="0" xr:uid="{00000000-0006-0000-0200-00000D000000}">
      <text>
        <r>
          <rPr>
            <b/>
            <sz val="9"/>
            <color indexed="81"/>
            <rFont val="Tahoma"/>
            <family val="2"/>
          </rPr>
          <t>Internal Subsidies:</t>
        </r>
        <r>
          <rPr>
            <sz val="9"/>
            <color indexed="81"/>
            <rFont val="Tahoma"/>
            <family val="2"/>
          </rPr>
          <t xml:space="preserve">
Subsidies are amounts provided by a department(s) or reserve account(s) to defray the costs of internal sales operations or to cover unallowable costs.  These amounts differ from a loan, in that there is no expectation of repayment of a subsidy.</t>
        </r>
      </text>
    </comment>
    <comment ref="B126" authorId="0" shapeId="0" xr:uid="{00000000-0006-0000-0200-00000E000000}">
      <text>
        <r>
          <rPr>
            <b/>
            <sz val="9"/>
            <color indexed="81"/>
            <rFont val="Tahoma"/>
            <family val="2"/>
          </rPr>
          <t>Other Subsidy:</t>
        </r>
        <r>
          <rPr>
            <sz val="9"/>
            <color indexed="81"/>
            <rFont val="Tahoma"/>
            <family val="2"/>
          </rPr>
          <t xml:space="preserve">
Amounts transferred into the external-only cost center to support external operations.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 Walker</author>
  </authors>
  <commentList>
    <comment ref="F3" authorId="0" shapeId="0" xr:uid="{628F2890-A27A-4010-8864-F2CA8834A4FA}">
      <text>
        <r>
          <rPr>
            <b/>
            <sz val="9"/>
            <color indexed="81"/>
            <rFont val="Tahoma"/>
            <family val="2"/>
          </rPr>
          <t xml:space="preserve">GAR:
</t>
        </r>
        <r>
          <rPr>
            <sz val="9"/>
            <color indexed="81"/>
            <rFont val="Tahoma"/>
            <family val="2"/>
          </rPr>
          <t>GAR is no longer used due to new budget model</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W. White</author>
    <author>Leila M McCamey</author>
  </authors>
  <commentList>
    <comment ref="B21" authorId="0" shapeId="0" xr:uid="{00000000-0006-0000-0600-000001000000}">
      <text>
        <r>
          <rPr>
            <sz val="9"/>
            <color indexed="81"/>
            <rFont val="Tahoma"/>
            <family val="2"/>
          </rPr>
          <t>From departmental funds (e.g. general fund) or from related fund 78 reserves.  Subsidies can also be used to cover unallowable costs (e.g. PIE).</t>
        </r>
      </text>
    </comment>
    <comment ref="B23" authorId="1" shapeId="0" xr:uid="{00000000-0006-0000-0600-000002000000}">
      <text>
        <r>
          <rPr>
            <b/>
            <sz val="9"/>
            <color indexed="81"/>
            <rFont val="Tahoma"/>
            <family val="2"/>
          </rPr>
          <t>Internal Revenue:</t>
        </r>
        <r>
          <rPr>
            <sz val="9"/>
            <color indexed="81"/>
            <rFont val="Tahoma"/>
            <family val="2"/>
          </rPr>
          <t xml:space="preserve">
Received from sales to another department within the institution.  Internal revenues may be recorded in the account codes for ID Revenue (390xxx),  IN Revenue (380xxx), or Auxiliary Enterprise Revenue (280xxx).  See the </t>
        </r>
        <r>
          <rPr>
            <b/>
            <sz val="9"/>
            <color indexed="81"/>
            <rFont val="Tahoma"/>
            <family val="2"/>
          </rPr>
          <t>Reference</t>
        </r>
        <r>
          <rPr>
            <sz val="9"/>
            <color indexed="81"/>
            <rFont val="Tahoma"/>
            <family val="2"/>
          </rPr>
          <t xml:space="preserve"> tab for guidance on which type of revenue to use.</t>
        </r>
      </text>
    </comment>
    <comment ref="F23" authorId="0" shapeId="0" xr:uid="{00000000-0006-0000-0600-000003000000}">
      <text>
        <r>
          <rPr>
            <b/>
            <sz val="9"/>
            <color indexed="81"/>
            <rFont val="Tahoma"/>
            <family val="2"/>
          </rPr>
          <t xml:space="preserve">Units Sold:
</t>
        </r>
        <r>
          <rPr>
            <sz val="9"/>
            <color indexed="81"/>
            <rFont val="Tahoma"/>
            <family val="2"/>
          </rPr>
          <t>In the absence of unit-level records, you may make estimates of unit counts here that map accurately to actual rates and revenue totals.  In other words, the estimated units sold multiplied by the actual price per unit should enter the total revenue.</t>
        </r>
      </text>
    </comment>
    <comment ref="B24" authorId="1" shapeId="0" xr:uid="{00000000-0006-0000-0600-000004000000}">
      <text>
        <r>
          <rPr>
            <b/>
            <sz val="9"/>
            <color indexed="81"/>
            <rFont val="Tahoma"/>
            <family val="2"/>
          </rPr>
          <t>External Federal Revenue:</t>
        </r>
        <r>
          <rPr>
            <sz val="9"/>
            <color indexed="81"/>
            <rFont val="Tahoma"/>
            <family val="2"/>
          </rPr>
          <t xml:space="preserve">
Received from federal agencies or labs outside the institution.  External federal revenues may be recorded in the account codes for SSEA Revenue (250xxx), Auxiliary Enterprise Revenue (280xxx), or Miscellaneous Revenue (325xxx).  See the </t>
        </r>
        <r>
          <rPr>
            <b/>
            <sz val="9"/>
            <color indexed="81"/>
            <rFont val="Tahoma"/>
            <family val="2"/>
          </rPr>
          <t>Reference</t>
        </r>
        <r>
          <rPr>
            <sz val="9"/>
            <color indexed="81"/>
            <rFont val="Tahoma"/>
            <family val="2"/>
          </rPr>
          <t xml:space="preserve"> tab for guidance on which type of revenue to use.</t>
        </r>
      </text>
    </comment>
    <comment ref="B25" authorId="0" shapeId="0" xr:uid="{00000000-0006-0000-0600-000005000000}">
      <text>
        <r>
          <rPr>
            <b/>
            <sz val="9"/>
            <color indexed="81"/>
            <rFont val="Tahoma"/>
            <family val="2"/>
          </rPr>
          <t>External Non-profit Revenue:</t>
        </r>
        <r>
          <rPr>
            <sz val="9"/>
            <color indexed="81"/>
            <rFont val="Tahoma"/>
            <family val="2"/>
          </rPr>
          <t xml:space="preserve">
Received from non-profit entities outside the institution.  External non-profit revenues may be recorded in the account codes for SSEA Revenue (250xxx), Auxiliary Enterprise Revenue (280xxx), or Miscellaneous Revenue (325xxx).  See the Reference tab for guidance on which type of revenue to use.</t>
        </r>
      </text>
    </comment>
    <comment ref="B26" authorId="0" shapeId="0" xr:uid="{00000000-0006-0000-0600-000006000000}">
      <text>
        <r>
          <rPr>
            <b/>
            <sz val="9"/>
            <color indexed="81"/>
            <rFont val="Tahoma"/>
            <family val="2"/>
          </rPr>
          <t>External Corporate Revenue:</t>
        </r>
        <r>
          <rPr>
            <sz val="9"/>
            <color indexed="81"/>
            <rFont val="Tahoma"/>
            <family val="2"/>
          </rPr>
          <t xml:space="preserve">
Received from students, industry, or other sources outside the institution.  External corporate revenues may be recorded in the account codes for SSEA Revenue (250xxx), Auxiliary Enterprise Revenue (280xxx), or Miscellaneous Revenue (325xxx).  See the Reference tab for guidance on which type of revenue to use.</t>
        </r>
      </text>
    </comment>
    <comment ref="B74" authorId="1" shapeId="0" xr:uid="{00000000-0006-0000-0600-000007000000}">
      <text>
        <r>
          <rPr>
            <sz val="9"/>
            <color indexed="81"/>
            <rFont val="Tahoma"/>
            <family val="2"/>
          </rPr>
          <t>Enter the total salary for all efforts provided by RBSA personnel.  Portions of salary paid by department on behalf of the activity should be documented on the subsidy line.</t>
        </r>
      </text>
    </comment>
    <comment ref="B123" authorId="1" shapeId="0" xr:uid="{00000000-0006-0000-0600-000008000000}">
      <text>
        <r>
          <rPr>
            <b/>
            <sz val="9"/>
            <color indexed="81"/>
            <rFont val="Tahoma"/>
            <family val="2"/>
          </rPr>
          <t>Unfunded Unallowable Expenses:</t>
        </r>
        <r>
          <rPr>
            <sz val="9"/>
            <color indexed="81"/>
            <rFont val="Tahoma"/>
            <family val="2"/>
          </rPr>
          <t xml:space="preserve">
Enter the total amount, as a positive number, for unallowable expenses that will not be funded by a subsidy or profit from external sales.  Examples of unallowable costs include:
- Bad debt expense
- Donations and contributions
- Entertainment costs
- Financial aid
- Fines and penalties
- PIE Charges
- Product advertising
- Promotional items and memorabilia
- Social and civic activity expenses (memberships, professional activity costs, subscriptions, etc.)
- Student activity costs
- Other costs deemed unallowable by OMB Circular A-21</t>
        </r>
      </text>
    </comment>
    <comment ref="B125" authorId="1" shapeId="0" xr:uid="{00000000-0006-0000-0600-000009000000}">
      <text>
        <r>
          <rPr>
            <b/>
            <sz val="9"/>
            <color indexed="81"/>
            <rFont val="Tahoma"/>
            <family val="2"/>
          </rPr>
          <t>Internal Subsidies:</t>
        </r>
        <r>
          <rPr>
            <sz val="9"/>
            <color indexed="81"/>
            <rFont val="Tahoma"/>
            <family val="2"/>
          </rPr>
          <t xml:space="preserve">
Subsidies are amounts provided by a department(s) or reserve account(s) to defray the costs of internal sales operations or to cover unallowable costs.  These amounts differ from a loan, in that there is no expectation of repayment of a subsidy.</t>
        </r>
      </text>
    </comment>
    <comment ref="B126" authorId="0" shapeId="0" xr:uid="{00000000-0006-0000-0600-00000A000000}">
      <text>
        <r>
          <rPr>
            <b/>
            <sz val="9"/>
            <color indexed="81"/>
            <rFont val="Tahoma"/>
            <family val="2"/>
          </rPr>
          <t>Other Subsidy:</t>
        </r>
        <r>
          <rPr>
            <sz val="9"/>
            <color indexed="81"/>
            <rFont val="Tahoma"/>
            <family val="2"/>
          </rPr>
          <t xml:space="preserve">
Amounts transferred into the external-only cost center to support external operations.</t>
        </r>
      </text>
    </comment>
  </commentList>
</comments>
</file>

<file path=xl/sharedStrings.xml><?xml version="1.0" encoding="utf-8"?>
<sst xmlns="http://schemas.openxmlformats.org/spreadsheetml/2006/main" count="735" uniqueCount="329">
  <si>
    <t>Date</t>
  </si>
  <si>
    <t>Unit Information</t>
  </si>
  <si>
    <t>Name</t>
  </si>
  <si>
    <t>Phone Number</t>
  </si>
  <si>
    <t>E-mail Address</t>
  </si>
  <si>
    <t>Signature</t>
  </si>
  <si>
    <t>Preparer Information</t>
  </si>
  <si>
    <t>Total Salary &amp; Benefits</t>
  </si>
  <si>
    <t>Fringe Benefit Rates</t>
  </si>
  <si>
    <t>Hourly</t>
  </si>
  <si>
    <t>Supplies</t>
  </si>
  <si>
    <t>Services</t>
  </si>
  <si>
    <t>Maintenance &amp; Repair</t>
  </si>
  <si>
    <t>Printing &amp; Copying</t>
  </si>
  <si>
    <t>Total Operating Expenses</t>
  </si>
  <si>
    <t>Research Faculty</t>
  </si>
  <si>
    <t>Regular Faculty</t>
  </si>
  <si>
    <t>Student Faculty</t>
  </si>
  <si>
    <t>Professional Exempt</t>
  </si>
  <si>
    <t>Classified - regular, permanent</t>
  </si>
  <si>
    <t>Professional Exempt, temp</t>
  </si>
  <si>
    <t>Classified, temp</t>
  </si>
  <si>
    <t>Benefits:</t>
  </si>
  <si>
    <t>Total Salary</t>
  </si>
  <si>
    <t>Total Benefits</t>
  </si>
  <si>
    <t>Depreciation Transfers</t>
  </si>
  <si>
    <t>Department Head/Chair/Org Fiscal Manager</t>
  </si>
  <si>
    <t>acct code</t>
  </si>
  <si>
    <t>GAR</t>
  </si>
  <si>
    <t>GIR</t>
  </si>
  <si>
    <t>FY14</t>
  </si>
  <si>
    <t>FY13</t>
  </si>
  <si>
    <t>General Administrative/Infrastructure Recharge</t>
  </si>
  <si>
    <t>FY15</t>
  </si>
  <si>
    <t>Don't forget to share this rate sheet with all staff associated with charging fees and recording transactions.</t>
  </si>
  <si>
    <t>Actuals</t>
  </si>
  <si>
    <t>Travel</t>
  </si>
  <si>
    <t># of people</t>
  </si>
  <si>
    <t>% Time</t>
  </si>
  <si>
    <t>Position Type (Reg Fac, Class FT, etc.)</t>
  </si>
  <si>
    <t>Activity Manager Information</t>
  </si>
  <si>
    <t>Professional Exempt, part-time</t>
  </si>
  <si>
    <t>Professional Exempt, full-time</t>
  </si>
  <si>
    <t>FY16</t>
  </si>
  <si>
    <t>FY17</t>
  </si>
  <si>
    <t>Per Service</t>
  </si>
  <si>
    <t>Per Item</t>
  </si>
  <si>
    <t>Per Copy</t>
  </si>
  <si>
    <t>Rate-Setting Year ("FYxx"):</t>
  </si>
  <si>
    <t>This Year:</t>
  </si>
  <si>
    <t>Last Year:</t>
  </si>
  <si>
    <t>2 Years Ago:</t>
  </si>
  <si>
    <t>3 Years Ago:</t>
  </si>
  <si>
    <t>FY18</t>
  </si>
  <si>
    <t>FY19</t>
  </si>
  <si>
    <t>FY20</t>
  </si>
  <si>
    <t>FY21</t>
  </si>
  <si>
    <t>FY22</t>
  </si>
  <si>
    <t>FY23</t>
  </si>
  <si>
    <t>Other (specify)</t>
  </si>
  <si>
    <t>FY24</t>
  </si>
  <si>
    <t>FY25</t>
  </si>
  <si>
    <t>Speedtype Name</t>
  </si>
  <si>
    <t>Program #</t>
  </si>
  <si>
    <t>Org #</t>
  </si>
  <si>
    <t>Speedtype #</t>
  </si>
  <si>
    <t>It may be useful to list the number of people in each type of position, as well as % of time spent on this activity.</t>
  </si>
  <si>
    <t>Have comments about the rates?  Put them in the box below.</t>
  </si>
  <si>
    <t>Capital Lease Payments (principal &amp; interest only)</t>
  </si>
  <si>
    <t>Note: Capital equipment related to fund 28 operations must be purchased in a fund 78.</t>
  </si>
  <si>
    <t>Equipment (Non-Capital only for fund 28)</t>
  </si>
  <si>
    <t>Department Name</t>
  </si>
  <si>
    <t>Fund #</t>
  </si>
  <si>
    <t>Please provide a description of the goods and services to be provided.  Briefly describe how your organization's provision of these services is unique and furthers the mission of the University of Colorado Boulder.</t>
  </si>
  <si>
    <t>Certification Statement and Signatures</t>
  </si>
  <si>
    <t>Other expenses (please specify)</t>
  </si>
  <si>
    <t>All Internal</t>
  </si>
  <si>
    <t>Salary &amp; Wages:</t>
  </si>
  <si>
    <t>Implied subsidies not specified</t>
  </si>
  <si>
    <t>Expense Notes</t>
  </si>
  <si>
    <t>Projected</t>
  </si>
  <si>
    <t>Subsidies</t>
  </si>
  <si>
    <t>Transfers</t>
  </si>
  <si>
    <t>Operating Net</t>
  </si>
  <si>
    <t>All internal (CU) customers</t>
  </si>
  <si>
    <t>Minimum</t>
  </si>
  <si>
    <t>Maximum</t>
  </si>
  <si>
    <t>Selected</t>
  </si>
  <si>
    <t>Gain/(loss) in $</t>
  </si>
  <si>
    <t>Gain/(loss) in days' reserves</t>
  </si>
  <si>
    <t>External federal customers</t>
  </si>
  <si>
    <t>External non-profit customers</t>
  </si>
  <si>
    <t>External corporate customers</t>
  </si>
  <si>
    <t>External federal</t>
  </si>
  <si>
    <t>External
non-profit</t>
  </si>
  <si>
    <t>External
corporate</t>
  </si>
  <si>
    <t>External 
corporate</t>
  </si>
  <si>
    <t>Total</t>
  </si>
  <si>
    <t>enter as positive</t>
  </si>
  <si>
    <t>&lt;-Planned</t>
  </si>
  <si>
    <t>60-day rate</t>
  </si>
  <si>
    <t>int. max</t>
  </si>
  <si>
    <t>Internal</t>
  </si>
  <si>
    <t>diff to 60</t>
  </si>
  <si>
    <t>OR</t>
  </si>
  <si>
    <t>Final % of sales</t>
  </si>
  <si>
    <t>ext. trf. avail</t>
  </si>
  <si>
    <t>Following Year:</t>
  </si>
  <si>
    <t>trf avail?</t>
  </si>
  <si>
    <t>1-day int</t>
  </si>
  <si>
    <t>Beginning speedtype balance</t>
  </si>
  <si>
    <t>Internal sales</t>
  </si>
  <si>
    <t>External federal sales</t>
  </si>
  <si>
    <t>External non-profit sales</t>
  </si>
  <si>
    <t>External corporate sales</t>
  </si>
  <si>
    <t>Total sales revenue</t>
  </si>
  <si>
    <t>Adjusted speedtype balance</t>
  </si>
  <si>
    <t>Speedtype balance, beginning of year</t>
  </si>
  <si>
    <t>Speedtype balance, end of year</t>
  </si>
  <si>
    <t>Speedtype balance, after transfers</t>
  </si>
  <si>
    <t>Use inventory-based method to determine an overhead margin on cost of goods sold?</t>
  </si>
  <si>
    <t>(If you're unsure, choose No.)</t>
  </si>
  <si>
    <t>Yes</t>
  </si>
  <si>
    <t>No</t>
  </si>
  <si>
    <t>CC rate</t>
  </si>
  <si>
    <t>min</t>
  </si>
  <si>
    <t>max</t>
  </si>
  <si>
    <t>transfer:</t>
  </si>
  <si>
    <t>Before YE transfers</t>
  </si>
  <si>
    <t>After YE transfers</t>
  </si>
  <si>
    <t>Elective transfers in/(out) (only when no internal sales occur)</t>
  </si>
  <si>
    <t>Fund 78 transfers in/(out) for net of external sales (only when internal sales occur)</t>
  </si>
  <si>
    <t>External gains</t>
  </si>
  <si>
    <t>Dept. subsidies</t>
  </si>
  <si>
    <t>unall. from ext gains</t>
  </si>
  <si>
    <t>unall. from dept subsidy</t>
  </si>
  <si>
    <t>int bal</t>
  </si>
  <si>
    <t>trx:</t>
  </si>
  <si>
    <t>Ending Balance</t>
  </si>
  <si>
    <t>Year-end transfers (to)/from fund 78</t>
  </si>
  <si>
    <t>Year-End GL Balance</t>
  </si>
  <si>
    <t>Beginning Balance</t>
  </si>
  <si>
    <t>Surplus/(deficit), internal activity</t>
  </si>
  <si>
    <t>Surplus/(deficit), external activity</t>
  </si>
  <si>
    <t>Subsidies to apply to internal rates</t>
  </si>
  <si>
    <t>Subsidies to apply to internal rates and/or unallowable costs (enter as +)</t>
  </si>
  <si>
    <t>enter as pos. or 0</t>
  </si>
  <si>
    <t>Balance after adjustments in subsequent years</t>
  </si>
  <si>
    <r>
      <t xml:space="preserve">Balance after sales activity and </t>
    </r>
    <r>
      <rPr>
        <b/>
        <u/>
        <sz val="10"/>
        <color indexed="8"/>
        <rFont val="Arial"/>
        <family val="2"/>
      </rPr>
      <t>before</t>
    </r>
    <r>
      <rPr>
        <b/>
        <sz val="10"/>
        <color indexed="8"/>
        <rFont val="Arial"/>
        <family val="2"/>
      </rPr>
      <t xml:space="preserve"> year-end transfers</t>
    </r>
  </si>
  <si>
    <r>
      <t xml:space="preserve">Balance after sales activity and </t>
    </r>
    <r>
      <rPr>
        <b/>
        <u/>
        <sz val="10"/>
        <color indexed="8"/>
        <rFont val="Arial"/>
        <family val="2"/>
      </rPr>
      <t>after</t>
    </r>
    <r>
      <rPr>
        <b/>
        <sz val="10"/>
        <color indexed="8"/>
        <rFont val="Arial"/>
        <family val="2"/>
      </rPr>
      <t xml:space="preserve"> year-end transfers</t>
    </r>
  </si>
  <si>
    <t>Transfers (to)/from fund 78 after FY end</t>
  </si>
  <si>
    <t>Total Allowable Direct Expenses</t>
  </si>
  <si>
    <t>Total Allowable Expenses</t>
  </si>
  <si>
    <t>Unfunded unallowable expenses (PIE, advertising, etc.) (enter as +)</t>
  </si>
  <si>
    <t>Total Costs</t>
  </si>
  <si>
    <t>Net Costs</t>
  </si>
  <si>
    <r>
      <t xml:space="preserve">Subsidies for external rates - </t>
    </r>
    <r>
      <rPr>
        <u/>
        <sz val="10"/>
        <color theme="1"/>
        <rFont val="Arial"/>
        <family val="2"/>
      </rPr>
      <t>only</t>
    </r>
    <r>
      <rPr>
        <sz val="10"/>
        <color theme="1"/>
        <rFont val="Arial"/>
        <family val="2"/>
      </rPr>
      <t xml:space="preserve"> available if no internal activity (enter as +)</t>
    </r>
  </si>
  <si>
    <t>Rate Sheet Submission Process</t>
  </si>
  <si>
    <t>What Happens After the Rate Sheet is Submitted?</t>
  </si>
  <si>
    <t>Billing &amp; Pricing Considerations</t>
  </si>
  <si>
    <t>Resources</t>
  </si>
  <si>
    <t>Excess external gain:</t>
  </si>
  <si>
    <t>Required Cells</t>
  </si>
  <si>
    <t>Optional Cells</t>
  </si>
  <si>
    <t>1.</t>
  </si>
  <si>
    <t>2.</t>
  </si>
  <si>
    <t>3.</t>
  </si>
  <si>
    <t>New or existing rate?</t>
  </si>
  <si>
    <t>Goods &amp; Services Provided</t>
  </si>
  <si>
    <t>Org Number</t>
  </si>
  <si>
    <t>Program Number</t>
  </si>
  <si>
    <t>Speedtype Number</t>
  </si>
  <si>
    <t>Service Activity Manager</t>
  </si>
  <si>
    <t>The enclosed Rate-Based Service Activity rate calculations have been thoroughly reviewed, and I certify that due diligence and prudence were taken in preparing this document.  All expenses included in the rate are reasonable and necessary for producing the activities. This statement is certified by:</t>
  </si>
  <si>
    <t>Good/Service Name</t>
  </si>
  <si>
    <t>The rate sheet takes the following general rate-setting guidelines into account:</t>
  </si>
  <si>
    <t>The annual rate calculation worksheet plus any documentation supporting historical figures or projections: three full years + current fiscal year.</t>
  </si>
  <si>
    <t>Records of all goods and services provided to each customer that document the goods and services sold and the price charged for each: three full fiscal years + current fiscal year.</t>
  </si>
  <si>
    <t>Records of all capital equipment purchases and the associated depreciation schedules used to determine depreciation funding transfers: 3 years after disposal.</t>
  </si>
  <si>
    <t>4.</t>
  </si>
  <si>
    <t>Back to the rate sheet</t>
  </si>
  <si>
    <t>Documentation Requirements</t>
  </si>
  <si>
    <r>
      <rPr>
        <u/>
        <sz val="10"/>
        <rFont val="Arial"/>
        <family val="2"/>
      </rPr>
      <t>Note</t>
    </r>
    <r>
      <rPr>
        <sz val="10"/>
        <rFont val="Arial"/>
        <family val="2"/>
      </rPr>
      <t>: If the RBSA makes a sale to a sponsored project (Fund 30), the department must retain documentation for 6 years after the final financial report for the project is filed with the sponsor. If this information is unknown, departments must retain the records for a period of time dating back to include the oldest active project. That date is currently February 1, 1997.</t>
    </r>
  </si>
  <si>
    <t>Name (please print or type)</t>
  </si>
  <si>
    <t>Contact us</t>
  </si>
  <si>
    <t>if you need additional rows for expenses</t>
  </si>
  <si>
    <t>Yellow-shaded cells require your input.  Prior year data is required.  Please insert notes or supporting calculations only to the right of column U.</t>
  </si>
  <si>
    <t>This section plays a key role in your rate selection (Step 5) by testing your year-end fund balances (incl. internal vs. external activity, when applicable) for compliance.</t>
  </si>
  <si>
    <r>
      <rPr>
        <b/>
        <sz val="10"/>
        <rFont val="Arial"/>
        <family val="2"/>
      </rPr>
      <t>External</t>
    </r>
    <r>
      <rPr>
        <sz val="10"/>
        <rFont val="Arial"/>
        <family val="2"/>
      </rPr>
      <t xml:space="preserve"> customers are those who pay using a credit card, purchase order, or other vendor-style payment method.  Fund 80 speedtypes are also considered external customers.  For rate-setting purposes, external customers are further divided in to </t>
    </r>
    <r>
      <rPr>
        <b/>
        <sz val="10"/>
        <rFont val="Arial"/>
        <family val="2"/>
      </rPr>
      <t>external federal</t>
    </r>
    <r>
      <rPr>
        <sz val="10"/>
        <rFont val="Arial"/>
        <family val="2"/>
      </rPr>
      <t xml:space="preserve">, </t>
    </r>
    <r>
      <rPr>
        <b/>
        <sz val="10"/>
        <rFont val="Arial"/>
        <family val="2"/>
      </rPr>
      <t>external non-profit</t>
    </r>
    <r>
      <rPr>
        <sz val="10"/>
        <rFont val="Arial"/>
        <family val="2"/>
      </rPr>
      <t xml:space="preserve">, and </t>
    </r>
    <r>
      <rPr>
        <b/>
        <sz val="10"/>
        <rFont val="Arial"/>
        <family val="2"/>
      </rPr>
      <t xml:space="preserve">external corporate </t>
    </r>
    <r>
      <rPr>
        <sz val="10"/>
        <rFont val="Arial"/>
        <family val="2"/>
      </rPr>
      <t>categories.  Not all RBSAs will have all customer types, and rates do not need to be set for inapplicable types.</t>
    </r>
  </si>
  <si>
    <t>Introduction and What's New</t>
  </si>
  <si>
    <t>Introduction: Preparation and Submission</t>
  </si>
  <si>
    <t>Under University policy, Rate-Based Service Activities (RBSAs) must comply with the provisions of Federal OMB Circular A-21 (including its successors) and the OMB Uniform Guidance. The University's interpretation of these guidelines is embodied in Chapter 13 of the Departmental Financial Guide, "Internal Sales Activities."</t>
  </si>
  <si>
    <t>These cells may be completed when applicable for optional steps.</t>
  </si>
  <si>
    <t>Which File Should I Use, and How Many?</t>
  </si>
  <si>
    <t>Policy Reference</t>
  </si>
  <si>
    <r>
      <rPr>
        <b/>
        <sz val="10"/>
        <rFont val="Arial"/>
        <family val="2"/>
      </rPr>
      <t>Internal</t>
    </r>
    <r>
      <rPr>
        <sz val="10"/>
        <rFont val="Arial"/>
        <family val="2"/>
      </rPr>
      <t xml:space="preserve"> customers are those for which a university speedtype is to be charged.  Internal customers also include speedtypes from other CU campuses.  The exception is Fund 80 speedtypes, which are considered external customers.</t>
    </r>
  </si>
  <si>
    <t>Internal customers, including sponsored projects, cannot be charged more than actual cost plus consideration for up to a 60-day expense reserve.</t>
  </si>
  <si>
    <t>All internal customers, including sponsored projects, must be charged the same rate within the same fiscal year.</t>
  </si>
  <si>
    <t>Services should be billed within 30 days and may not be billed in advance of providing the services. For prolonged service provision, interim billings are encouraged.</t>
  </si>
  <si>
    <t>Quick-Start Instructions:</t>
  </si>
  <si>
    <t>All other cells within the framed range on the "Rate Sheet" tab are protected for your convenience.</t>
  </si>
  <si>
    <t xml:space="preserve">Please visit the RBSA website at </t>
  </si>
  <si>
    <t>Complete all yellow-shaded cells on the Certification tab and then on the Rate Sheet tab.  Refer to the "Rate Sheet - Sample Data" tab for a full example.</t>
  </si>
  <si>
    <t>actively with you on the 'what,' 'how,' and 'why' of this effort!</t>
  </si>
  <si>
    <t>Generally, amounts should be entered as positive (+) figures. Cells where amounts may need to be entered as negative figures are labeled accordingly.  Dollar signs ($) are not necessary.</t>
  </si>
  <si>
    <t>Which Revenue Account Code Can I Use in My Program?</t>
  </si>
  <si>
    <t>The account code used to record revenue is driven by the selling unit.  The fund type, the program's EPC, and the customer type are all factors.</t>
  </si>
  <si>
    <t>SSEA Revenue</t>
  </si>
  <si>
    <r>
      <t>Auxiliary Enterprise Revenue</t>
    </r>
    <r>
      <rPr>
        <vertAlign val="superscript"/>
        <sz val="10"/>
        <rFont val="Arial"/>
        <family val="2"/>
      </rPr>
      <t>2</t>
    </r>
  </si>
  <si>
    <t>Misc Revenue</t>
  </si>
  <si>
    <r>
      <t>IN Revenue</t>
    </r>
    <r>
      <rPr>
        <vertAlign val="superscript"/>
        <sz val="10"/>
        <rFont val="Arial"/>
        <family val="2"/>
      </rPr>
      <t>2</t>
    </r>
  </si>
  <si>
    <r>
      <t>ID Revenue</t>
    </r>
    <r>
      <rPr>
        <vertAlign val="superscript"/>
        <sz val="10"/>
        <rFont val="Arial"/>
        <family val="2"/>
      </rPr>
      <t>2</t>
    </r>
  </si>
  <si>
    <t>Fund Type</t>
  </si>
  <si>
    <r>
      <t>EPC</t>
    </r>
    <r>
      <rPr>
        <vertAlign val="superscript"/>
        <sz val="10"/>
        <rFont val="Arial"/>
        <family val="2"/>
      </rPr>
      <t>1</t>
    </r>
  </si>
  <si>
    <t>Customer Type</t>
  </si>
  <si>
    <t>250000 - 259999</t>
  </si>
  <si>
    <t>280000 - 289999</t>
  </si>
  <si>
    <t>325000 - 334999</t>
  </si>
  <si>
    <t>380000 - 389999</t>
  </si>
  <si>
    <t>390000 - 399999</t>
  </si>
  <si>
    <t>Fund 10</t>
  </si>
  <si>
    <t>All EPCs</t>
  </si>
  <si>
    <t>Internal Customer</t>
  </si>
  <si>
    <t>External Customer</t>
  </si>
  <si>
    <t>Fund 20</t>
  </si>
  <si>
    <t>EPC 2000</t>
  </si>
  <si>
    <t>EPC 2100</t>
  </si>
  <si>
    <t>325200-325399 only</t>
  </si>
  <si>
    <t>Other EPCs</t>
  </si>
  <si>
    <t>Fund 26</t>
  </si>
  <si>
    <t>325800 only</t>
  </si>
  <si>
    <t>Departmental fund 26s are not revenue generating, excet for payments received for royalties.</t>
  </si>
  <si>
    <t>Fund 28</t>
  </si>
  <si>
    <t>Fund 29</t>
  </si>
  <si>
    <t>EPC 1100-1500</t>
  </si>
  <si>
    <r>
      <rPr>
        <vertAlign val="superscript"/>
        <sz val="8"/>
        <rFont val="Arial"/>
        <family val="2"/>
      </rPr>
      <t>1</t>
    </r>
    <r>
      <rPr>
        <sz val="8"/>
        <rFont val="Arial"/>
        <family val="2"/>
      </rPr>
      <t xml:space="preserve"> EPC is an attribute at the program level.  To find your program in PeopleSoft Finance, navigate to General Ledger / ChartFields / Program.  Once you find your program, click on the "program CU attributes" tab to find the EPC.</t>
    </r>
  </si>
  <si>
    <t>Step 1:</t>
  </si>
  <si>
    <t>Step 2:</t>
  </si>
  <si>
    <t>Step 3:</t>
  </si>
  <si>
    <t>Step 4:</t>
  </si>
  <si>
    <t>Step 5:</t>
  </si>
  <si>
    <t>Step 6:</t>
  </si>
  <si>
    <t>Rate sheet version 1.04</t>
  </si>
  <si>
    <t>X</t>
  </si>
  <si>
    <t>Fund 78 Speedtype Number</t>
  </si>
  <si>
    <t>RBSA Worksheet--Lab/Title</t>
  </si>
  <si>
    <t>Manager</t>
  </si>
  <si>
    <t>Speedtype</t>
  </si>
  <si>
    <t>Fund 78 Speedtype</t>
  </si>
  <si>
    <t>General Explantion of Service:</t>
  </si>
  <si>
    <t>UNITS</t>
  </si>
  <si>
    <t>Units of Sale</t>
  </si>
  <si>
    <t>Projected Sales</t>
  </si>
  <si>
    <t>Service 1</t>
  </si>
  <si>
    <t>Customer Mix</t>
  </si>
  <si>
    <t>Federal</t>
  </si>
  <si>
    <t>Ext nonprofit</t>
  </si>
  <si>
    <t>Ext corporate</t>
  </si>
  <si>
    <t>SERVICE 1</t>
  </si>
  <si>
    <t>LABOR</t>
  </si>
  <si>
    <t>EID</t>
  </si>
  <si>
    <t>Account/Title</t>
  </si>
  <si>
    <t>Annual Hours</t>
  </si>
  <si>
    <t>% to RBSA</t>
  </si>
  <si>
    <t>Annual Salary</t>
  </si>
  <si>
    <t>Cost per hour</t>
  </si>
  <si>
    <t>Emp 1</t>
  </si>
  <si>
    <t>Emp 2</t>
  </si>
  <si>
    <t>Emp 3</t>
  </si>
  <si>
    <t>Emp 4</t>
  </si>
  <si>
    <t>Emp 5</t>
  </si>
  <si>
    <t>Total Annual Labor Costs</t>
  </si>
  <si>
    <t>CONSUMABLES/VARIABLE</t>
  </si>
  <si>
    <t>Cost</t>
  </si>
  <si>
    <t>per Unit</t>
  </si>
  <si>
    <t>Consumable 1</t>
  </si>
  <si>
    <t>Consumable 2</t>
  </si>
  <si>
    <t>Consumable 3</t>
  </si>
  <si>
    <t>Consumable 4</t>
  </si>
  <si>
    <t>Consumable 5</t>
  </si>
  <si>
    <t>Total Annual Variable Costs</t>
  </si>
  <si>
    <t>Number of trips</t>
  </si>
  <si>
    <t>Ave Expense</t>
  </si>
  <si>
    <t>CAPITAL/FIXED</t>
  </si>
  <si>
    <t>Lifespan</t>
  </si>
  <si>
    <t>% RBSA</t>
  </si>
  <si>
    <t>RBSA Costs</t>
  </si>
  <si>
    <t>Total Equipment</t>
  </si>
  <si>
    <t>UPS</t>
  </si>
  <si>
    <t xml:space="preserve">Battery </t>
  </si>
  <si>
    <t>Data Server</t>
  </si>
  <si>
    <t>Total Annual Capital Costs</t>
  </si>
  <si>
    <t>Annual  Quantity</t>
  </si>
  <si>
    <t>Maintenance</t>
  </si>
  <si>
    <t>Dept/Overhead Surcharge</t>
  </si>
  <si>
    <t>GAIR</t>
  </si>
  <si>
    <t>Need FY22 rate</t>
  </si>
  <si>
    <t>Annual Costs</t>
  </si>
  <si>
    <t>Total GAIR</t>
  </si>
  <si>
    <t>TOTAL ANNUAL COSTS</t>
  </si>
  <si>
    <t>Labor</t>
  </si>
  <si>
    <t>Variable</t>
  </si>
  <si>
    <t>Fixed</t>
  </si>
  <si>
    <t>Overhead</t>
  </si>
  <si>
    <t>TOTAL</t>
  </si>
  <si>
    <t>Desired Rates</t>
  </si>
  <si>
    <r>
      <t xml:space="preserve">This tool has been provided for use in developing rates for </t>
    </r>
    <r>
      <rPr>
        <b/>
        <sz val="10"/>
        <rFont val="Arial"/>
        <family val="2"/>
      </rPr>
      <t>Rate-Based Service Activities (RBSAs)</t>
    </r>
    <r>
      <rPr>
        <sz val="10"/>
        <rFont val="Arial"/>
        <family val="2"/>
      </rPr>
      <t>.  This will allow each campus unit engaging in rate-based services to satisfy federal regulations relating to internal services, and to comply with campus policy and guidelines relating to both internal and external sales.</t>
    </r>
  </si>
  <si>
    <t>Once you submit your rate sheet, a colleague from the Contoller's Office may reach out to you to provide feedback or support in the event that further clarification or detail is needed.  Submission of a rate sheet that is complete, has no omissions, flags, or error messages, and selects allowable rates, constitutes the required compliance step.  As an extra and optional step, you are free to engage with the Controller's Office at any time throughout the year for discussion about the business planning implications of the rates that you have selected (e.g., the sustainability of relatively level rates over time, optimal application of department subsidies, etc.).</t>
  </si>
  <si>
    <t>At a minimum, an RBSA must retain certain documentation for the periods of time noted per UCCS Records Retention Schedule, the CU Records Retention APS, and Schedule 7 of the Colorado State Archives Records Management Manual. Generally, this includes:</t>
  </si>
  <si>
    <t xml:space="preserve">For information about these and other financial guidelines, go to the Controller's Office web site at: </t>
  </si>
  <si>
    <t>https://rmd.uccs.edu/uccs-controllers-office</t>
  </si>
  <si>
    <t>https://compliance.uccs.edu/news/record-retention</t>
  </si>
  <si>
    <t>Information on Retention of University Records:</t>
  </si>
  <si>
    <r>
      <t xml:space="preserve">This rate sheet is intended for rate development of a single product/service which does not share the same speedtype with another product/service.  
RBSAs which sell multiple products/services from multiple speedtypes (with each speedtype dedicated uniquely to one product/service) should make copies of this file, and complete a separate rate calculation file for each product/service.
Finally, RBSAs which produce several products/services from a pool of expenses recorded within a single speedtype should instead complete the separate </t>
    </r>
    <r>
      <rPr>
        <b/>
        <sz val="10"/>
        <rFont val="Arial"/>
        <family val="2"/>
      </rPr>
      <t>Multi-Item Rate Sheet</t>
    </r>
    <r>
      <rPr>
        <sz val="10"/>
        <rFont val="Arial"/>
        <family val="2"/>
      </rPr>
      <t>, which can also be found at:</t>
    </r>
  </si>
  <si>
    <t>Controller's Office FAQs:</t>
  </si>
  <si>
    <t xml:space="preserve">External customers, including students and Fund 80 programs, can be charged more than actual cost. Product sales to external customers may be subject to sales tax.  For guidance on sales tax, please refer to the UBIT FAQs at: </t>
  </si>
  <si>
    <t>https://rmd.uccs.edu/uccs-controllers-office/ubit-faqs</t>
  </si>
  <si>
    <t xml:space="preserve">Finally, for RBSAs with any external customers, near the end of each fiscal year, you may need to transfer gains generated from external sales (if any) to a Fund 78 (plant fund) in order to maintain compliance in addition to followng FYE Recommendations from UCCS Budget and Planning Office. </t>
  </si>
  <si>
    <t>Depreciation Transfers-Planned</t>
  </si>
  <si>
    <r>
      <t xml:space="preserve">Submit this file to </t>
    </r>
    <r>
      <rPr>
        <u/>
        <sz val="10"/>
        <color rgb="FF0070C0"/>
        <rFont val="Arial"/>
        <family val="2"/>
      </rPr>
      <t>rbsa@uccs.edu</t>
    </r>
    <r>
      <rPr>
        <sz val="10"/>
        <color rgb="FFC00000"/>
        <rFont val="Arial"/>
        <family val="2"/>
      </rPr>
      <t xml:space="preserve"> when a new activity requires a rate or when a current activity needs a rate review. Rate reviews are due annually or bi-annually on March 31st, frequency is determined by the risk level.</t>
    </r>
  </si>
  <si>
    <r>
      <t xml:space="preserve">Sign the Certification tab &amp; send it to </t>
    </r>
    <r>
      <rPr>
        <sz val="10"/>
        <color rgb="FF0070C0"/>
        <rFont val="Arial"/>
        <family val="2"/>
      </rPr>
      <t>rbsa@uccs.edu</t>
    </r>
    <r>
      <rPr>
        <sz val="10"/>
        <color rgb="FFC00000"/>
        <rFont val="Arial"/>
        <family val="2"/>
      </rPr>
      <t>.</t>
    </r>
  </si>
  <si>
    <r>
      <rPr>
        <sz val="10"/>
        <rFont val="Arial"/>
        <family val="2"/>
      </rPr>
      <t xml:space="preserve">to learn more, or contact </t>
    </r>
    <r>
      <rPr>
        <u/>
        <sz val="10"/>
        <color theme="10"/>
        <rFont val="Arial"/>
        <family val="2"/>
      </rPr>
      <t xml:space="preserve"> rbsa@uccs.edu</t>
    </r>
    <r>
      <rPr>
        <sz val="10"/>
        <rFont val="Arial"/>
        <family val="2"/>
      </rPr>
      <t xml:space="preserve"> to engage with us in dialogue.  We would be happy to partner</t>
    </r>
  </si>
  <si>
    <t xml:space="preserve">Need help?  Please contact your Area Accountant or rbsa@uccs.edu.
Email completed rate proposals and a signed copy of this Certification electronically to rbsa@uccs.edu.
</t>
  </si>
  <si>
    <t>Fill out the rate sheet, referring to the comments provided in many of the cells and any pop-up messages.  Upon completion of the workbook, email the electronic copy to rbsa@uccs.edu.</t>
  </si>
  <si>
    <t xml:space="preserve">For the remainder of this year and for the full fiscal year ahead, please continue to monitor your planned and actual revenues and expenses.  In rare cases, in the event of a major change during the year in your service center (e.g., a brand new product/service offering, substantial changes in expected revenues or expenses, etc.), a mid-cycle review and revision of your rates may be appropriate.  Please contact rbsa@uccs.edu at any time if this may be applicable to you.  
</t>
  </si>
  <si>
    <t>https://rmd.uccs.edu/uccs-controllers-office/frequently-asked-questions/rate-based-service-activities</t>
  </si>
  <si>
    <t>uccs-controllers-office/frequently-asked-questions/rate-based-service-activities</t>
  </si>
  <si>
    <r>
      <rPr>
        <vertAlign val="superscript"/>
        <sz val="8"/>
        <rFont val="Arial"/>
        <family val="2"/>
      </rPr>
      <t>2</t>
    </r>
    <r>
      <rPr>
        <sz val="8"/>
        <rFont val="Arial"/>
        <family val="2"/>
      </rPr>
      <t xml:space="preserve"> If using ID Revenue for the selling unit, the purchasing unit must record an ID Expense. </t>
    </r>
  </si>
  <si>
    <t>Contact us if you need additional rows for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</si>
</sst>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409]mmmm\ d\,\ yyyy;@"/>
    <numFmt numFmtId="166" formatCode="[$-409]mmmm\-yy;@"/>
    <numFmt numFmtId="167" formatCode="_(* #,##0_);_(* \(#,##0\);_(* &quot;-&quot;??_);_(@_)"/>
    <numFmt numFmtId="168" formatCode="00000000"/>
    <numFmt numFmtId="169" formatCode="00000"/>
    <numFmt numFmtId="170" formatCode="_(* #,##0.000000_);_(* \(#,##0.000000\);_(* &quot;-&quot;??_);_(@_)"/>
    <numFmt numFmtId="171" formatCode="&quot;$&quot;#,##0.00"/>
    <numFmt numFmtId="172" formatCode="&quot;$&quot;#,##0"/>
    <numFmt numFmtId="173" formatCode="0&quot; days&quot;"/>
    <numFmt numFmtId="174" formatCode="0&quot; internal days&quot;"/>
    <numFmt numFmtId="175" formatCode="_(&quot;$&quot;* #,##0_);_(&quot;$&quot;* \(#,##0\);_(&quot;$&quot;* &quot;-&quot;??_);_(@_)"/>
    <numFmt numFmtId="176" formatCode="_(&quot;$&quot;* #,##0.0_);_(&quot;$&quot;* \(#,##0.0\);_(&quot;$&quot;* &quot;-&quot;??_);_(@_)"/>
    <numFmt numFmtId="177" formatCode="_(&quot;$&quot;* #,##0_);_(&quot;$&quot;* \(#,##0\);_(&quot;$&quot;* &quot;-&quot;?_);_(@_)"/>
  </numFmts>
  <fonts count="106"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u/>
      <sz val="10"/>
      <color indexed="12"/>
      <name val="Arial"/>
      <family val="2"/>
    </font>
    <font>
      <u/>
      <sz val="10"/>
      <color theme="10"/>
      <name val="Arial"/>
      <family val="2"/>
    </font>
    <font>
      <sz val="10"/>
      <color theme="1"/>
      <name val="Arial"/>
      <family val="2"/>
    </font>
    <font>
      <sz val="10"/>
      <color indexed="8"/>
      <name val="Arial"/>
      <family val="2"/>
    </font>
    <font>
      <sz val="10"/>
      <name val="Arial"/>
      <family val="2"/>
    </font>
    <font>
      <sz val="8"/>
      <color rgb="FF000000"/>
      <name val="Tahoma"/>
      <family val="2"/>
    </font>
    <font>
      <sz val="9"/>
      <color indexed="81"/>
      <name val="Tahoma"/>
      <family val="2"/>
    </font>
    <font>
      <b/>
      <sz val="9"/>
      <color indexed="81"/>
      <name val="Tahoma"/>
      <family val="2"/>
    </font>
    <font>
      <sz val="10"/>
      <color rgb="FFFF0000"/>
      <name val="Arial"/>
      <family val="2"/>
    </font>
    <font>
      <b/>
      <sz val="10"/>
      <color theme="1"/>
      <name val="Arial"/>
      <family val="2"/>
    </font>
    <font>
      <i/>
      <sz val="10"/>
      <color indexed="8"/>
      <name val="Arial"/>
      <family val="2"/>
    </font>
    <font>
      <i/>
      <sz val="10"/>
      <color theme="1"/>
      <name val="Arial"/>
      <family val="2"/>
    </font>
    <font>
      <b/>
      <sz val="10"/>
      <color indexed="8"/>
      <name val="Arial"/>
      <family val="2"/>
    </font>
    <font>
      <b/>
      <sz val="10"/>
      <name val="Arial"/>
      <family val="2"/>
    </font>
    <font>
      <sz val="10"/>
      <color rgb="FF0000FF"/>
      <name val="Arial"/>
      <family val="2"/>
    </font>
    <font>
      <b/>
      <i/>
      <sz val="10"/>
      <name val="Arial"/>
      <family val="2"/>
    </font>
    <font>
      <i/>
      <sz val="8"/>
      <name val="Arial"/>
      <family val="2"/>
    </font>
    <font>
      <b/>
      <sz val="12"/>
      <color indexed="8"/>
      <name val="Arial"/>
      <family val="2"/>
    </font>
    <font>
      <sz val="16"/>
      <color rgb="FFFF0000"/>
      <name val="Arial"/>
      <family val="2"/>
    </font>
    <font>
      <b/>
      <sz val="11"/>
      <color indexed="8"/>
      <name val="Arial"/>
      <family val="2"/>
    </font>
    <font>
      <sz val="11"/>
      <color rgb="FF000000"/>
      <name val="Arial"/>
      <family val="2"/>
    </font>
    <font>
      <sz val="11"/>
      <color indexed="8"/>
      <name val="Arial"/>
      <family val="2"/>
    </font>
    <font>
      <sz val="11"/>
      <color theme="1"/>
      <name val="Arial"/>
      <family val="2"/>
    </font>
    <font>
      <i/>
      <sz val="8"/>
      <color theme="1"/>
      <name val="Arial"/>
      <family val="2"/>
    </font>
    <font>
      <sz val="8"/>
      <color theme="1"/>
      <name val="Arial"/>
      <family val="2"/>
    </font>
    <font>
      <b/>
      <sz val="8"/>
      <color theme="1"/>
      <name val="Arial"/>
      <family val="2"/>
    </font>
    <font>
      <b/>
      <sz val="8"/>
      <color indexed="8"/>
      <name val="Arial"/>
      <family val="2"/>
    </font>
    <font>
      <i/>
      <sz val="10"/>
      <name val="Arial"/>
      <family val="2"/>
    </font>
    <font>
      <i/>
      <sz val="10"/>
      <color rgb="FFC00000"/>
      <name val="Arial"/>
      <family val="2"/>
    </font>
    <font>
      <sz val="16"/>
      <color indexed="8"/>
      <name val="Arial"/>
      <family val="2"/>
    </font>
    <font>
      <i/>
      <sz val="10"/>
      <color rgb="FFFF0000"/>
      <name val="Arial"/>
      <family val="2"/>
    </font>
    <font>
      <sz val="9"/>
      <color theme="1"/>
      <name val="Arial"/>
      <family val="2"/>
    </font>
    <font>
      <b/>
      <sz val="10"/>
      <color rgb="FFFF0000"/>
      <name val="Arial"/>
      <family val="2"/>
    </font>
    <font>
      <i/>
      <sz val="10"/>
      <color theme="0"/>
      <name val="Arial"/>
      <family val="2"/>
    </font>
    <font>
      <i/>
      <sz val="6"/>
      <color theme="0"/>
      <name val="Arial"/>
      <family val="2"/>
    </font>
    <font>
      <sz val="8"/>
      <color theme="1" tint="0.499984740745262"/>
      <name val="Arial"/>
      <family val="2"/>
    </font>
    <font>
      <sz val="6"/>
      <color theme="1"/>
      <name val="Arial"/>
      <family val="2"/>
    </font>
    <font>
      <i/>
      <sz val="6"/>
      <color theme="1"/>
      <name val="Arial"/>
      <family val="2"/>
    </font>
    <font>
      <sz val="8"/>
      <color theme="0"/>
      <name val="Arial"/>
      <family val="2"/>
    </font>
    <font>
      <sz val="6"/>
      <color theme="0"/>
      <name val="Arial"/>
      <family val="2"/>
    </font>
    <font>
      <b/>
      <sz val="12"/>
      <color rgb="FFFF0000"/>
      <name val="Arial"/>
      <family val="2"/>
    </font>
    <font>
      <u/>
      <sz val="10"/>
      <color theme="1"/>
      <name val="Arial"/>
      <family val="2"/>
    </font>
    <font>
      <sz val="10"/>
      <color theme="1" tint="0.499984740745262"/>
      <name val="Arial"/>
      <family val="2"/>
    </font>
    <font>
      <i/>
      <sz val="10"/>
      <color theme="1" tint="0.499984740745262"/>
      <name val="Arial"/>
      <family val="2"/>
    </font>
    <font>
      <i/>
      <sz val="8"/>
      <color theme="1" tint="0.499984740745262"/>
      <name val="Arial"/>
      <family val="2"/>
    </font>
    <font>
      <sz val="8"/>
      <color theme="1" tint="0.34998626667073579"/>
      <name val="Arial"/>
      <family val="2"/>
    </font>
    <font>
      <i/>
      <sz val="8"/>
      <color theme="1" tint="0.34998626667073579"/>
      <name val="Arial"/>
      <family val="2"/>
    </font>
    <font>
      <sz val="9"/>
      <name val="Arial"/>
      <family val="2"/>
    </font>
    <font>
      <sz val="8"/>
      <color rgb="FFFF0000"/>
      <name val="Arial"/>
      <family val="2"/>
    </font>
    <font>
      <sz val="10"/>
      <color theme="0"/>
      <name val="Arial"/>
      <family val="2"/>
    </font>
    <font>
      <b/>
      <u/>
      <sz val="10"/>
      <color indexed="8"/>
      <name val="Arial"/>
      <family val="2"/>
    </font>
    <font>
      <b/>
      <sz val="16"/>
      <color rgb="FFFF0000"/>
      <name val="Arial"/>
      <family val="2"/>
    </font>
    <font>
      <b/>
      <i/>
      <sz val="11"/>
      <color rgb="FFC00000"/>
      <name val="Arial"/>
      <family val="2"/>
    </font>
    <font>
      <b/>
      <u/>
      <sz val="11"/>
      <name val="Arial"/>
      <family val="2"/>
    </font>
    <font>
      <sz val="11"/>
      <name val="Arial"/>
      <family val="2"/>
    </font>
    <font>
      <u/>
      <sz val="10"/>
      <name val="Arial"/>
      <family val="2"/>
    </font>
    <font>
      <sz val="10"/>
      <color rgb="FFC00000"/>
      <name val="Arial"/>
      <family val="2"/>
    </font>
    <font>
      <b/>
      <sz val="10"/>
      <color rgb="FFC00000"/>
      <name val="Arial"/>
      <family val="2"/>
    </font>
    <font>
      <sz val="12"/>
      <color theme="1"/>
      <name val="Arial"/>
      <family val="2"/>
    </font>
    <font>
      <b/>
      <u/>
      <sz val="10"/>
      <name val="Arial"/>
      <family val="2"/>
    </font>
    <font>
      <b/>
      <i/>
      <sz val="12"/>
      <color rgb="FFC00000"/>
      <name val="Arial"/>
      <family val="2"/>
    </font>
    <font>
      <b/>
      <u/>
      <sz val="12"/>
      <name val="Arial"/>
      <family val="2"/>
    </font>
    <font>
      <sz val="16"/>
      <name val="Arial"/>
      <family val="2"/>
    </font>
    <font>
      <i/>
      <sz val="9"/>
      <color theme="1"/>
      <name val="Arial"/>
      <family val="2"/>
    </font>
    <font>
      <sz val="8"/>
      <name val="Arial"/>
      <family val="2"/>
    </font>
    <font>
      <u/>
      <sz val="8"/>
      <color theme="10"/>
      <name val="Arial"/>
      <family val="2"/>
    </font>
    <font>
      <sz val="12"/>
      <name val="Arial"/>
      <family val="2"/>
    </font>
    <font>
      <vertAlign val="superscript"/>
      <sz val="10"/>
      <name val="Arial"/>
      <family val="2"/>
    </font>
    <font>
      <vertAlign val="superscript"/>
      <sz val="8"/>
      <name val="Arial"/>
      <family val="2"/>
    </font>
    <font>
      <b/>
      <sz val="12"/>
      <color theme="1"/>
      <name val="Arial"/>
      <family val="2"/>
    </font>
    <font>
      <sz val="11"/>
      <color rgb="FFFF0000"/>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sz val="11"/>
      <name val="Calibri"/>
      <family val="2"/>
      <scheme val="minor"/>
    </font>
    <font>
      <b/>
      <i/>
      <sz val="12"/>
      <color theme="1"/>
      <name val="Calibri"/>
      <family val="2"/>
      <scheme val="minor"/>
    </font>
    <font>
      <i/>
      <sz val="11"/>
      <color rgb="FFFF0000"/>
      <name val="Calibri"/>
      <family val="2"/>
      <scheme val="minor"/>
    </font>
    <font>
      <sz val="10"/>
      <color rgb="FF0070C0"/>
      <name val="Arial"/>
      <family val="2"/>
    </font>
    <font>
      <u/>
      <sz val="10"/>
      <color rgb="FF0070C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4" tint="0.79998168889431442"/>
        <bgColor indexed="64"/>
      </patternFill>
    </fill>
    <fill>
      <patternFill patternType="gray0625"/>
    </fill>
    <fill>
      <gradientFill degree="270">
        <stop position="0">
          <color theme="0"/>
        </stop>
        <stop position="1">
          <color theme="4" tint="0.40000610370189521"/>
        </stop>
      </gradientFill>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style="thin">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64"/>
      </top>
      <bottom style="medium">
        <color indexed="64"/>
      </bottom>
      <diagonal/>
    </border>
  </borders>
  <cellStyleXfs count="15">
    <xf numFmtId="0" fontId="0" fillId="0" borderId="0"/>
    <xf numFmtId="0" fontId="27" fillId="0" borderId="0" applyNumberFormat="0" applyFill="0" applyBorder="0" applyAlignment="0" applyProtection="0">
      <alignment vertical="top"/>
      <protection locked="0"/>
    </xf>
    <xf numFmtId="0" fontId="26" fillId="0" borderId="0"/>
    <xf numFmtId="0" fontId="28" fillId="0" borderId="0" applyNumberFormat="0" applyFill="0" applyBorder="0" applyAlignment="0" applyProtection="0"/>
    <xf numFmtId="0" fontId="29" fillId="0" borderId="0"/>
    <xf numFmtId="9" fontId="30" fillId="0" borderId="0" applyFont="0" applyFill="0" applyBorder="0" applyAlignment="0" applyProtection="0"/>
    <xf numFmtId="0" fontId="28" fillId="0" borderId="0" applyNumberFormat="0" applyFill="0" applyBorder="0" applyAlignment="0" applyProtection="0">
      <alignment vertical="top"/>
      <protection locked="0"/>
    </xf>
    <xf numFmtId="9"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20" fillId="0" borderId="0"/>
    <xf numFmtId="0" fontId="21" fillId="0" borderId="0"/>
    <xf numFmtId="0" fontId="2" fillId="0" borderId="0"/>
    <xf numFmtId="9" fontId="2" fillId="0" borderId="0" applyFont="0" applyFill="0" applyBorder="0" applyAlignment="0" applyProtection="0"/>
    <xf numFmtId="44" fontId="2" fillId="0" borderId="0" applyFont="0" applyFill="0" applyBorder="0" applyAlignment="0" applyProtection="0"/>
  </cellStyleXfs>
  <cellXfs count="671">
    <xf numFmtId="0" fontId="0" fillId="0" borderId="0" xfId="0"/>
    <xf numFmtId="0" fontId="25" fillId="4" borderId="6" xfId="4" applyFont="1" applyFill="1" applyBorder="1" applyProtection="1">
      <protection locked="0"/>
    </xf>
    <xf numFmtId="167" fontId="25" fillId="4" borderId="6" xfId="8" applyNumberFormat="1" applyFont="1" applyFill="1" applyBorder="1" applyAlignment="1" applyProtection="1">
      <alignment horizontal="center"/>
      <protection locked="0"/>
    </xf>
    <xf numFmtId="9" fontId="25" fillId="4" borderId="6" xfId="7" applyFont="1" applyFill="1" applyBorder="1" applyAlignment="1" applyProtection="1">
      <alignment horizontal="center"/>
      <protection locked="0"/>
    </xf>
    <xf numFmtId="0" fontId="24" fillId="4" borderId="6" xfId="4" applyFont="1" applyFill="1" applyBorder="1" applyProtection="1">
      <protection locked="0"/>
    </xf>
    <xf numFmtId="0" fontId="18" fillId="4" borderId="6" xfId="4" applyFont="1" applyFill="1" applyBorder="1" applyProtection="1">
      <protection locked="0"/>
    </xf>
    <xf numFmtId="0" fontId="30" fillId="3" borderId="6" xfId="4" applyFont="1" applyFill="1" applyBorder="1" applyAlignment="1" applyProtection="1">
      <alignment horizontal="center"/>
      <protection locked="0"/>
    </xf>
    <xf numFmtId="0" fontId="25" fillId="0" borderId="0" xfId="4" applyFont="1" applyProtection="1">
      <protection hidden="1"/>
    </xf>
    <xf numFmtId="0" fontId="37" fillId="0" borderId="0" xfId="4" applyFont="1" applyAlignment="1" applyProtection="1">
      <alignment wrapText="1"/>
      <protection hidden="1"/>
    </xf>
    <xf numFmtId="9" fontId="25" fillId="0" borderId="0" xfId="4" applyNumberFormat="1" applyFont="1" applyProtection="1">
      <protection hidden="1"/>
    </xf>
    <xf numFmtId="5" fontId="25" fillId="0" borderId="0" xfId="4" applyNumberFormat="1" applyFont="1" applyProtection="1">
      <protection hidden="1"/>
    </xf>
    <xf numFmtId="0" fontId="25" fillId="0" borderId="12" xfId="4" applyFont="1" applyBorder="1" applyProtection="1">
      <protection hidden="1"/>
    </xf>
    <xf numFmtId="0" fontId="44" fillId="0" borderId="13" xfId="4" applyFont="1" applyBorder="1" applyAlignment="1" applyProtection="1">
      <alignment vertical="center"/>
      <protection hidden="1"/>
    </xf>
    <xf numFmtId="0" fontId="44" fillId="0" borderId="14" xfId="4" applyFont="1" applyBorder="1" applyAlignment="1" applyProtection="1">
      <alignment horizontal="left" vertical="center"/>
      <protection hidden="1"/>
    </xf>
    <xf numFmtId="0" fontId="25" fillId="0" borderId="15" xfId="4" applyFont="1" applyBorder="1" applyProtection="1">
      <protection hidden="1"/>
    </xf>
    <xf numFmtId="0" fontId="44" fillId="0" borderId="0" xfId="4" applyFont="1" applyAlignment="1" applyProtection="1">
      <alignment vertical="center"/>
      <protection hidden="1"/>
    </xf>
    <xf numFmtId="0" fontId="30" fillId="0" borderId="0" xfId="4" applyFont="1" applyAlignment="1" applyProtection="1">
      <alignment horizontal="center" vertical="center"/>
      <protection hidden="1"/>
    </xf>
    <xf numFmtId="0" fontId="44" fillId="0" borderId="16" xfId="4" applyFont="1" applyBorder="1" applyAlignment="1" applyProtection="1">
      <alignment horizontal="left" vertical="center"/>
      <protection hidden="1"/>
    </xf>
    <xf numFmtId="0" fontId="37" fillId="0" borderId="0" xfId="4" applyFont="1" applyAlignment="1" applyProtection="1">
      <alignment horizontal="right"/>
      <protection hidden="1"/>
    </xf>
    <xf numFmtId="0" fontId="30" fillId="0" borderId="0" xfId="4" applyFont="1" applyAlignment="1" applyProtection="1">
      <alignment horizontal="center"/>
      <protection hidden="1"/>
    </xf>
    <xf numFmtId="166" fontId="36" fillId="0" borderId="16" xfId="4" applyNumberFormat="1" applyFont="1" applyBorder="1" applyAlignment="1" applyProtection="1">
      <alignment horizontal="center" wrapText="1"/>
      <protection hidden="1"/>
    </xf>
    <xf numFmtId="0" fontId="30" fillId="0" borderId="0" xfId="4" applyFont="1" applyAlignment="1" applyProtection="1">
      <alignment wrapText="1"/>
      <protection hidden="1"/>
    </xf>
    <xf numFmtId="43" fontId="25" fillId="0" borderId="16" xfId="8" applyFont="1" applyFill="1" applyBorder="1" applyProtection="1">
      <protection hidden="1"/>
    </xf>
    <xf numFmtId="0" fontId="30" fillId="0" borderId="0" xfId="4" applyFont="1" applyAlignment="1" applyProtection="1">
      <alignment horizontal="left" indent="1"/>
      <protection hidden="1"/>
    </xf>
    <xf numFmtId="0" fontId="10" fillId="0" borderId="0" xfId="4" applyFont="1" applyAlignment="1" applyProtection="1">
      <alignment horizontal="left" indent="1"/>
      <protection hidden="1"/>
    </xf>
    <xf numFmtId="0" fontId="18" fillId="0" borderId="0" xfId="4" applyFont="1" applyAlignment="1" applyProtection="1">
      <alignment horizontal="left" indent="1"/>
      <protection hidden="1"/>
    </xf>
    <xf numFmtId="0" fontId="30" fillId="0" borderId="0" xfId="4" applyFont="1" applyAlignment="1" applyProtection="1">
      <alignment horizontal="right" indent="1"/>
      <protection hidden="1"/>
    </xf>
    <xf numFmtId="0" fontId="30" fillId="0" borderId="0" xfId="4" applyFont="1" applyAlignment="1" applyProtection="1">
      <alignment horizontal="right"/>
      <protection hidden="1"/>
    </xf>
    <xf numFmtId="0" fontId="9" fillId="0" borderId="0" xfId="4" applyFont="1" applyAlignment="1" applyProtection="1">
      <alignment horizontal="left" indent="1"/>
      <protection hidden="1"/>
    </xf>
    <xf numFmtId="0" fontId="25" fillId="0" borderId="18" xfId="4" applyFont="1" applyBorder="1" applyProtection="1">
      <protection hidden="1"/>
    </xf>
    <xf numFmtId="0" fontId="37" fillId="0" borderId="19" xfId="4" applyFont="1" applyBorder="1" applyAlignment="1" applyProtection="1">
      <alignment wrapText="1"/>
      <protection hidden="1"/>
    </xf>
    <xf numFmtId="0" fontId="25" fillId="0" borderId="19" xfId="4" applyFont="1" applyBorder="1" applyProtection="1">
      <protection hidden="1"/>
    </xf>
    <xf numFmtId="5" fontId="25" fillId="0" borderId="28" xfId="4" applyNumberFormat="1" applyFont="1" applyBorder="1" applyProtection="1">
      <protection hidden="1"/>
    </xf>
    <xf numFmtId="169" fontId="37" fillId="0" borderId="0" xfId="4" applyNumberFormat="1" applyFont="1" applyAlignment="1" applyProtection="1">
      <alignment horizontal="left" indent="1"/>
      <protection hidden="1"/>
    </xf>
    <xf numFmtId="0" fontId="38" fillId="0" borderId="0" xfId="4" applyFont="1" applyProtection="1">
      <protection hidden="1"/>
    </xf>
    <xf numFmtId="0" fontId="38" fillId="0" borderId="16" xfId="4" applyFont="1" applyBorder="1" applyProtection="1">
      <protection hidden="1"/>
    </xf>
    <xf numFmtId="43" fontId="16" fillId="0" borderId="1" xfId="8" applyFont="1" applyFill="1" applyBorder="1" applyAlignment="1" applyProtection="1">
      <alignment horizontal="center"/>
      <protection hidden="1"/>
    </xf>
    <xf numFmtId="0" fontId="62" fillId="0" borderId="0" xfId="4" applyFont="1" applyProtection="1">
      <protection hidden="1"/>
    </xf>
    <xf numFmtId="0" fontId="62" fillId="0" borderId="16" xfId="4" applyFont="1" applyBorder="1" applyProtection="1">
      <protection hidden="1"/>
    </xf>
    <xf numFmtId="0" fontId="25" fillId="0" borderId="4" xfId="4" applyFont="1" applyBorder="1" applyProtection="1">
      <protection hidden="1"/>
    </xf>
    <xf numFmtId="43" fontId="25" fillId="0" borderId="4" xfId="8" applyFont="1" applyFill="1" applyBorder="1" applyProtection="1">
      <protection hidden="1"/>
    </xf>
    <xf numFmtId="0" fontId="30" fillId="0" borderId="0" xfId="4" applyFont="1" applyAlignment="1" applyProtection="1">
      <alignment horizontal="left"/>
      <protection hidden="1"/>
    </xf>
    <xf numFmtId="43" fontId="25" fillId="0" borderId="0" xfId="8" applyFont="1" applyFill="1" applyBorder="1" applyProtection="1">
      <protection hidden="1"/>
    </xf>
    <xf numFmtId="5" fontId="25" fillId="0" borderId="10" xfId="8" applyNumberFormat="1" applyFont="1" applyFill="1" applyBorder="1" applyProtection="1">
      <protection hidden="1"/>
    </xf>
    <xf numFmtId="0" fontId="50" fillId="0" borderId="17" xfId="4" applyFont="1" applyBorder="1" applyAlignment="1" applyProtection="1">
      <alignment horizontal="right"/>
      <protection hidden="1"/>
    </xf>
    <xf numFmtId="0" fontId="63" fillId="0" borderId="0" xfId="4" applyFont="1" applyAlignment="1" applyProtection="1">
      <alignment wrapText="1" shrinkToFit="1"/>
      <protection hidden="1"/>
    </xf>
    <xf numFmtId="0" fontId="64" fillId="0" borderId="16" xfId="4" applyFont="1" applyBorder="1" applyProtection="1">
      <protection hidden="1"/>
    </xf>
    <xf numFmtId="5" fontId="25" fillId="0" borderId="0" xfId="8" applyNumberFormat="1" applyFont="1" applyFill="1" applyBorder="1" applyProtection="1">
      <protection hidden="1"/>
    </xf>
    <xf numFmtId="9" fontId="65" fillId="0" borderId="0" xfId="7" applyFont="1" applyFill="1" applyBorder="1" applyAlignment="1" applyProtection="1">
      <alignment horizontal="left"/>
      <protection hidden="1"/>
    </xf>
    <xf numFmtId="9" fontId="65" fillId="0" borderId="16" xfId="7" applyFont="1" applyFill="1" applyBorder="1" applyAlignment="1" applyProtection="1">
      <alignment horizontal="left"/>
      <protection hidden="1"/>
    </xf>
    <xf numFmtId="0" fontId="15" fillId="0" borderId="0" xfId="4" applyFont="1" applyAlignment="1" applyProtection="1">
      <alignment horizontal="left"/>
      <protection hidden="1"/>
    </xf>
    <xf numFmtId="0" fontId="19" fillId="0" borderId="0" xfId="4" applyFont="1" applyAlignment="1" applyProtection="1">
      <alignment horizontal="left"/>
      <protection hidden="1"/>
    </xf>
    <xf numFmtId="167" fontId="25" fillId="0" borderId="0" xfId="8" applyNumberFormat="1" applyFont="1" applyFill="1" applyBorder="1" applyProtection="1">
      <protection hidden="1"/>
    </xf>
    <xf numFmtId="0" fontId="50" fillId="0" borderId="0" xfId="4" applyFont="1" applyAlignment="1" applyProtection="1">
      <alignment horizontal="right"/>
      <protection hidden="1"/>
    </xf>
    <xf numFmtId="0" fontId="39" fillId="4" borderId="0" xfId="4" applyFont="1" applyFill="1" applyAlignment="1" applyProtection="1">
      <alignment horizontal="left"/>
      <protection hidden="1"/>
    </xf>
    <xf numFmtId="0" fontId="30" fillId="4" borderId="0" xfId="4" applyFont="1" applyFill="1" applyAlignment="1" applyProtection="1">
      <alignment horizontal="left"/>
      <protection hidden="1"/>
    </xf>
    <xf numFmtId="0" fontId="25" fillId="4" borderId="0" xfId="4" applyFont="1" applyFill="1" applyProtection="1">
      <protection hidden="1"/>
    </xf>
    <xf numFmtId="0" fontId="62" fillId="4" borderId="0" xfId="4" applyFont="1" applyFill="1" applyProtection="1">
      <protection hidden="1"/>
    </xf>
    <xf numFmtId="0" fontId="50" fillId="4" borderId="0" xfId="4" applyFont="1" applyFill="1" applyAlignment="1" applyProtection="1">
      <alignment horizontal="right"/>
      <protection hidden="1"/>
    </xf>
    <xf numFmtId="5" fontId="38" fillId="4" borderId="0" xfId="8" applyNumberFormat="1" applyFont="1" applyFill="1" applyBorder="1" applyAlignment="1" applyProtection="1">
      <protection hidden="1"/>
    </xf>
    <xf numFmtId="0" fontId="7" fillId="4" borderId="0" xfId="4" applyFont="1" applyFill="1" applyAlignment="1" applyProtection="1">
      <alignment horizontal="left"/>
      <protection hidden="1"/>
    </xf>
    <xf numFmtId="0" fontId="6" fillId="4" borderId="0" xfId="4" applyFont="1" applyFill="1" applyProtection="1">
      <protection hidden="1"/>
    </xf>
    <xf numFmtId="0" fontId="51" fillId="4" borderId="0" xfId="4" applyFont="1" applyFill="1" applyAlignment="1" applyProtection="1">
      <alignment horizontal="right"/>
      <protection hidden="1"/>
    </xf>
    <xf numFmtId="0" fontId="30" fillId="4" borderId="0" xfId="4" applyFont="1" applyFill="1" applyAlignment="1" applyProtection="1">
      <alignment horizontal="left" indent="1"/>
      <protection hidden="1"/>
    </xf>
    <xf numFmtId="0" fontId="8" fillId="4" borderId="0" xfId="4" applyFont="1" applyFill="1" applyProtection="1">
      <protection hidden="1"/>
    </xf>
    <xf numFmtId="0" fontId="72" fillId="5" borderId="0" xfId="4" applyFont="1" applyFill="1" applyProtection="1">
      <protection hidden="1"/>
    </xf>
    <xf numFmtId="0" fontId="72" fillId="5" borderId="0" xfId="4" applyFont="1" applyFill="1" applyAlignment="1" applyProtection="1">
      <alignment horizontal="left"/>
      <protection hidden="1"/>
    </xf>
    <xf numFmtId="0" fontId="72" fillId="5" borderId="0" xfId="4" applyFont="1" applyFill="1" applyAlignment="1" applyProtection="1">
      <alignment horizontal="right" wrapText="1" shrinkToFit="1"/>
      <protection hidden="1"/>
    </xf>
    <xf numFmtId="167" fontId="72" fillId="5" borderId="0" xfId="4" applyNumberFormat="1" applyFont="1" applyFill="1" applyAlignment="1" applyProtection="1">
      <alignment horizontal="right"/>
      <protection hidden="1"/>
    </xf>
    <xf numFmtId="0" fontId="72" fillId="5" borderId="0" xfId="4" applyFont="1" applyFill="1" applyAlignment="1" applyProtection="1">
      <alignment horizontal="right"/>
      <protection hidden="1"/>
    </xf>
    <xf numFmtId="173" fontId="72" fillId="5" borderId="0" xfId="4" applyNumberFormat="1" applyFont="1" applyFill="1" applyAlignment="1" applyProtection="1">
      <alignment horizontal="right" shrinkToFit="1"/>
      <protection hidden="1"/>
    </xf>
    <xf numFmtId="0" fontId="73" fillId="5" borderId="0" xfId="4" applyFont="1" applyFill="1" applyProtection="1">
      <protection hidden="1"/>
    </xf>
    <xf numFmtId="167" fontId="72" fillId="5" borderId="0" xfId="8" applyNumberFormat="1" applyFont="1" applyFill="1" applyBorder="1" applyAlignment="1" applyProtection="1">
      <protection hidden="1"/>
    </xf>
    <xf numFmtId="167" fontId="72" fillId="5" borderId="0" xfId="8" applyNumberFormat="1" applyFont="1" applyFill="1" applyBorder="1" applyAlignment="1" applyProtection="1">
      <alignment horizontal="right"/>
      <protection hidden="1"/>
    </xf>
    <xf numFmtId="0" fontId="72" fillId="5" borderId="0" xfId="4" applyFont="1" applyFill="1" applyAlignment="1" applyProtection="1">
      <alignment horizontal="right" shrinkToFit="1"/>
      <protection hidden="1"/>
    </xf>
    <xf numFmtId="0" fontId="51" fillId="0" borderId="0" xfId="4" applyFont="1" applyProtection="1">
      <protection hidden="1"/>
    </xf>
    <xf numFmtId="167" fontId="51" fillId="0" borderId="0" xfId="8" applyNumberFormat="1" applyFont="1" applyFill="1" applyBorder="1" applyAlignment="1" applyProtection="1">
      <alignment horizontal="center"/>
      <protection hidden="1"/>
    </xf>
    <xf numFmtId="167" fontId="63" fillId="0" borderId="0" xfId="8" applyNumberFormat="1" applyFont="1" applyFill="1" applyBorder="1" applyAlignment="1" applyProtection="1">
      <protection hidden="1"/>
    </xf>
    <xf numFmtId="0" fontId="38" fillId="0" borderId="0" xfId="4" applyFont="1" applyAlignment="1" applyProtection="1">
      <alignment horizontal="left"/>
      <protection hidden="1"/>
    </xf>
    <xf numFmtId="43" fontId="25" fillId="4" borderId="0" xfId="8" applyFont="1" applyFill="1" applyBorder="1" applyProtection="1">
      <protection hidden="1"/>
    </xf>
    <xf numFmtId="173" fontId="43" fillId="4" borderId="0" xfId="4" applyNumberFormat="1" applyFont="1" applyFill="1" applyAlignment="1" applyProtection="1">
      <alignment horizontal="left" shrinkToFit="1"/>
      <protection hidden="1"/>
    </xf>
    <xf numFmtId="0" fontId="66" fillId="0" borderId="0" xfId="4" applyFont="1" applyAlignment="1" applyProtection="1">
      <alignment wrapText="1" shrinkToFit="1"/>
      <protection hidden="1"/>
    </xf>
    <xf numFmtId="167" fontId="66" fillId="0" borderId="0" xfId="8" applyNumberFormat="1" applyFont="1" applyFill="1" applyBorder="1" applyAlignment="1" applyProtection="1">
      <protection hidden="1"/>
    </xf>
    <xf numFmtId="5" fontId="62" fillId="4" borderId="0" xfId="4" applyNumberFormat="1" applyFont="1" applyFill="1" applyProtection="1">
      <protection hidden="1"/>
    </xf>
    <xf numFmtId="0" fontId="26" fillId="0" borderId="15" xfId="4" applyFont="1" applyBorder="1" applyProtection="1">
      <protection hidden="1"/>
    </xf>
    <xf numFmtId="0" fontId="26" fillId="0" borderId="0" xfId="4" applyFont="1" applyAlignment="1" applyProtection="1">
      <alignment horizontal="left"/>
      <protection hidden="1"/>
    </xf>
    <xf numFmtId="0" fontId="26" fillId="0" borderId="0" xfId="4" applyFont="1" applyProtection="1">
      <protection hidden="1"/>
    </xf>
    <xf numFmtId="0" fontId="54" fillId="0" borderId="16" xfId="4" applyFont="1" applyBorder="1" applyProtection="1">
      <protection hidden="1"/>
    </xf>
    <xf numFmtId="5" fontId="25" fillId="0" borderId="19" xfId="4" applyNumberFormat="1" applyFont="1" applyBorder="1" applyProtection="1">
      <protection hidden="1"/>
    </xf>
    <xf numFmtId="9" fontId="25" fillId="0" borderId="19" xfId="4" applyNumberFormat="1" applyFont="1" applyBorder="1" applyProtection="1">
      <protection hidden="1"/>
    </xf>
    <xf numFmtId="0" fontId="44" fillId="0" borderId="0" xfId="4" applyFont="1" applyAlignment="1" applyProtection="1">
      <alignment horizontal="left" vertical="center"/>
      <protection hidden="1"/>
    </xf>
    <xf numFmtId="167" fontId="25" fillId="0" borderId="0" xfId="8" applyNumberFormat="1" applyFont="1" applyFill="1" applyBorder="1" applyAlignment="1" applyProtection="1">
      <alignment horizontal="right"/>
      <protection hidden="1"/>
    </xf>
    <xf numFmtId="0" fontId="54" fillId="0" borderId="0" xfId="4" applyFont="1" applyAlignment="1" applyProtection="1">
      <alignment horizontal="right"/>
      <protection hidden="1"/>
    </xf>
    <xf numFmtId="0" fontId="73" fillId="5" borderId="0" xfId="4" applyFont="1" applyFill="1" applyAlignment="1" applyProtection="1">
      <alignment wrapText="1"/>
      <protection hidden="1"/>
    </xf>
    <xf numFmtId="0" fontId="73" fillId="5" borderId="0" xfId="4" applyFont="1" applyFill="1" applyAlignment="1" applyProtection="1">
      <alignment horizontal="right"/>
      <protection hidden="1"/>
    </xf>
    <xf numFmtId="0" fontId="25" fillId="6" borderId="0" xfId="4" applyFont="1" applyFill="1" applyAlignment="1" applyProtection="1">
      <alignment vertical="center" wrapText="1"/>
      <protection hidden="1"/>
    </xf>
    <xf numFmtId="0" fontId="21" fillId="6" borderId="0" xfId="4" applyFont="1" applyFill="1" applyAlignment="1" applyProtection="1">
      <alignment horizontal="center" vertical="center" wrapText="1"/>
      <protection hidden="1"/>
    </xf>
    <xf numFmtId="0" fontId="25" fillId="6" borderId="0" xfId="4" applyFont="1" applyFill="1" applyAlignment="1" applyProtection="1">
      <alignment horizontal="center" wrapText="1"/>
      <protection hidden="1"/>
    </xf>
    <xf numFmtId="166" fontId="38" fillId="6" borderId="0" xfId="4" applyNumberFormat="1" applyFont="1" applyFill="1" applyAlignment="1" applyProtection="1">
      <alignment horizontal="center" wrapText="1"/>
      <protection hidden="1"/>
    </xf>
    <xf numFmtId="166" fontId="36" fillId="6" borderId="0" xfId="4" applyNumberFormat="1" applyFont="1" applyFill="1" applyAlignment="1" applyProtection="1">
      <alignment horizontal="center"/>
      <protection hidden="1"/>
    </xf>
    <xf numFmtId="0" fontId="36" fillId="6" borderId="0" xfId="4" applyFont="1" applyFill="1" applyAlignment="1" applyProtection="1">
      <alignment vertical="center"/>
      <protection hidden="1"/>
    </xf>
    <xf numFmtId="0" fontId="51" fillId="6" borderId="0" xfId="4" applyFont="1" applyFill="1" applyAlignment="1" applyProtection="1">
      <alignment horizontal="center"/>
      <protection hidden="1"/>
    </xf>
    <xf numFmtId="166" fontId="36" fillId="6" borderId="0" xfId="4" applyNumberFormat="1" applyFont="1" applyFill="1" applyAlignment="1" applyProtection="1">
      <alignment horizontal="left"/>
      <protection hidden="1"/>
    </xf>
    <xf numFmtId="0" fontId="25" fillId="0" borderId="0" xfId="4" applyFont="1" applyAlignment="1" applyProtection="1">
      <alignment horizontal="left" indent="1"/>
      <protection hidden="1"/>
    </xf>
    <xf numFmtId="0" fontId="25" fillId="4" borderId="33" xfId="4" applyFont="1" applyFill="1" applyBorder="1" applyAlignment="1" applyProtection="1">
      <alignment horizontal="left"/>
      <protection hidden="1"/>
    </xf>
    <xf numFmtId="0" fontId="25" fillId="4" borderId="33" xfId="4" applyFont="1" applyFill="1" applyBorder="1" applyAlignment="1" applyProtection="1">
      <alignment horizontal="left" wrapText="1"/>
      <protection hidden="1"/>
    </xf>
    <xf numFmtId="0" fontId="35" fillId="0" borderId="0" xfId="4" applyFont="1" applyAlignment="1" applyProtection="1">
      <alignment horizontal="left" indent="1"/>
      <protection hidden="1"/>
    </xf>
    <xf numFmtId="0" fontId="25" fillId="4" borderId="4" xfId="4" applyFont="1" applyFill="1" applyBorder="1" applyAlignment="1" applyProtection="1">
      <alignment horizontal="left" wrapText="1"/>
      <protection hidden="1"/>
    </xf>
    <xf numFmtId="0" fontId="25" fillId="4" borderId="3" xfId="4" applyFont="1" applyFill="1" applyBorder="1" applyAlignment="1" applyProtection="1">
      <alignment horizontal="left" wrapText="1"/>
      <protection hidden="1"/>
    </xf>
    <xf numFmtId="0" fontId="25" fillId="4" borderId="3" xfId="4" applyFont="1" applyFill="1" applyBorder="1" applyProtection="1">
      <protection hidden="1"/>
    </xf>
    <xf numFmtId="0" fontId="36" fillId="0" borderId="0" xfId="4" applyFont="1" applyProtection="1">
      <protection hidden="1"/>
    </xf>
    <xf numFmtId="0" fontId="36" fillId="0" borderId="15" xfId="4" applyFont="1" applyBorder="1" applyProtection="1">
      <protection hidden="1"/>
    </xf>
    <xf numFmtId="0" fontId="36" fillId="2" borderId="33" xfId="4" applyFont="1" applyFill="1" applyBorder="1" applyProtection="1">
      <protection hidden="1"/>
    </xf>
    <xf numFmtId="0" fontId="25" fillId="0" borderId="11" xfId="4" applyFont="1" applyBorder="1" applyAlignment="1" applyProtection="1">
      <alignment vertical="top" wrapText="1"/>
      <protection hidden="1"/>
    </xf>
    <xf numFmtId="0" fontId="25" fillId="0" borderId="0" xfId="4" applyFont="1" applyAlignment="1" applyProtection="1">
      <alignment horizontal="left" vertical="top" indent="2"/>
      <protection hidden="1"/>
    </xf>
    <xf numFmtId="0" fontId="51" fillId="0" borderId="11" xfId="4" applyFont="1" applyBorder="1" applyAlignment="1" applyProtection="1">
      <alignment horizontal="center" vertical="top" wrapText="1"/>
      <protection hidden="1"/>
    </xf>
    <xf numFmtId="0" fontId="25" fillId="0" borderId="29" xfId="4" applyFont="1" applyBorder="1" applyProtection="1">
      <protection hidden="1"/>
    </xf>
    <xf numFmtId="0" fontId="25" fillId="0" borderId="10" xfId="4" applyFont="1" applyBorder="1" applyProtection="1">
      <protection hidden="1"/>
    </xf>
    <xf numFmtId="0" fontId="25" fillId="0" borderId="10" xfId="4" applyFont="1" applyBorder="1" applyAlignment="1" applyProtection="1">
      <alignment horizontal="right"/>
      <protection hidden="1"/>
    </xf>
    <xf numFmtId="0" fontId="25" fillId="0" borderId="0" xfId="4" applyFont="1" applyAlignment="1" applyProtection="1">
      <alignment horizontal="left" vertical="top" indent="1"/>
      <protection hidden="1"/>
    </xf>
    <xf numFmtId="43" fontId="37" fillId="0" borderId="0" xfId="8" applyFont="1" applyFill="1" applyBorder="1" applyAlignment="1" applyProtection="1">
      <alignment horizontal="left" indent="1"/>
      <protection hidden="1"/>
    </xf>
    <xf numFmtId="0" fontId="67" fillId="0" borderId="0" xfId="4" applyFont="1" applyAlignment="1" applyProtection="1">
      <alignment horizontal="center" vertical="center"/>
      <protection hidden="1"/>
    </xf>
    <xf numFmtId="0" fontId="37" fillId="0" borderId="0" xfId="4" applyFont="1" applyProtection="1">
      <protection hidden="1"/>
    </xf>
    <xf numFmtId="0" fontId="30" fillId="0" borderId="0" xfId="4" applyFont="1" applyProtection="1">
      <protection hidden="1"/>
    </xf>
    <xf numFmtId="0" fontId="71" fillId="0" borderId="0" xfId="4" applyFont="1" applyAlignment="1" applyProtection="1">
      <alignment horizontal="right"/>
      <protection hidden="1"/>
    </xf>
    <xf numFmtId="0" fontId="61" fillId="0" borderId="0" xfId="4" applyFont="1" applyAlignment="1" applyProtection="1">
      <alignment shrinkToFit="1"/>
      <protection hidden="1"/>
    </xf>
    <xf numFmtId="0" fontId="69" fillId="0" borderId="0" xfId="4" applyFont="1" applyProtection="1">
      <protection hidden="1"/>
    </xf>
    <xf numFmtId="0" fontId="75" fillId="0" borderId="0" xfId="4" applyFont="1" applyProtection="1">
      <protection hidden="1"/>
    </xf>
    <xf numFmtId="0" fontId="70" fillId="0" borderId="0" xfId="4" applyFont="1" applyProtection="1">
      <protection hidden="1"/>
    </xf>
    <xf numFmtId="43" fontId="73" fillId="5" borderId="0" xfId="8" applyFont="1" applyFill="1" applyBorder="1" applyProtection="1">
      <protection hidden="1"/>
    </xf>
    <xf numFmtId="43" fontId="73" fillId="5" borderId="0" xfId="8" applyFont="1" applyFill="1" applyBorder="1" applyAlignment="1" applyProtection="1">
      <protection hidden="1"/>
    </xf>
    <xf numFmtId="0" fontId="73" fillId="5" borderId="0" xfId="4" applyFont="1" applyFill="1" applyAlignment="1" applyProtection="1">
      <alignment horizontal="right" shrinkToFit="1"/>
      <protection hidden="1"/>
    </xf>
    <xf numFmtId="43" fontId="73" fillId="5" borderId="0" xfId="8" applyFont="1" applyFill="1" applyBorder="1" applyAlignment="1" applyProtection="1">
      <alignment horizontal="left" indent="1"/>
      <protection hidden="1"/>
    </xf>
    <xf numFmtId="0" fontId="73" fillId="5" borderId="0" xfId="4" applyFont="1" applyFill="1" applyAlignment="1" applyProtection="1">
      <alignment horizontal="left"/>
      <protection hidden="1"/>
    </xf>
    <xf numFmtId="167" fontId="73" fillId="5" borderId="0" xfId="8" applyNumberFormat="1" applyFont="1" applyFill="1" applyBorder="1" applyAlignment="1" applyProtection="1">
      <protection hidden="1"/>
    </xf>
    <xf numFmtId="167" fontId="73" fillId="5" borderId="0" xfId="4" applyNumberFormat="1" applyFont="1" applyFill="1" applyAlignment="1" applyProtection="1">
      <alignment horizontal="center"/>
      <protection hidden="1"/>
    </xf>
    <xf numFmtId="43" fontId="73" fillId="5" borderId="0" xfId="4" applyNumberFormat="1" applyFont="1" applyFill="1" applyAlignment="1" applyProtection="1">
      <alignment horizontal="center"/>
      <protection hidden="1"/>
    </xf>
    <xf numFmtId="0" fontId="54" fillId="0" borderId="0" xfId="4" applyFont="1" applyAlignment="1" applyProtection="1">
      <alignment wrapText="1"/>
      <protection hidden="1"/>
    </xf>
    <xf numFmtId="43" fontId="54" fillId="0" borderId="0" xfId="8" applyFont="1" applyFill="1" applyBorder="1" applyAlignment="1" applyProtection="1">
      <alignment horizontal="left" indent="1"/>
      <protection hidden="1"/>
    </xf>
    <xf numFmtId="0" fontId="54" fillId="0" borderId="0" xfId="4" applyFont="1" applyProtection="1">
      <protection hidden="1"/>
    </xf>
    <xf numFmtId="0" fontId="60" fillId="0" borderId="0" xfId="4" applyFont="1" applyProtection="1">
      <protection hidden="1"/>
    </xf>
    <xf numFmtId="0" fontId="26" fillId="0" borderId="0" xfId="4" quotePrefix="1" applyFont="1" applyProtection="1">
      <protection hidden="1"/>
    </xf>
    <xf numFmtId="43" fontId="59" fillId="0" borderId="0" xfId="8" applyFont="1" applyFill="1" applyBorder="1" applyAlignment="1" applyProtection="1">
      <alignment horizontal="left"/>
      <protection hidden="1"/>
    </xf>
    <xf numFmtId="172" fontId="26" fillId="0" borderId="0" xfId="4" applyNumberFormat="1" applyFont="1" applyAlignment="1" applyProtection="1">
      <alignment horizontal="center"/>
      <protection hidden="1"/>
    </xf>
    <xf numFmtId="0" fontId="26" fillId="0" borderId="0" xfId="4" applyFont="1" applyAlignment="1" applyProtection="1">
      <alignment horizontal="right"/>
      <protection hidden="1"/>
    </xf>
    <xf numFmtId="43" fontId="37" fillId="0" borderId="0" xfId="8" applyFont="1" applyFill="1" applyBorder="1" applyAlignment="1" applyProtection="1">
      <alignment wrapText="1"/>
      <protection hidden="1"/>
    </xf>
    <xf numFmtId="43" fontId="38" fillId="0" borderId="0" xfId="4" applyNumberFormat="1" applyFont="1" applyProtection="1">
      <protection hidden="1"/>
    </xf>
    <xf numFmtId="170" fontId="38" fillId="0" borderId="0" xfId="4" applyNumberFormat="1" applyFont="1" applyProtection="1">
      <protection hidden="1"/>
    </xf>
    <xf numFmtId="0" fontId="25" fillId="6" borderId="0" xfId="4" applyFont="1" applyFill="1" applyAlignment="1" applyProtection="1">
      <alignment horizontal="center" vertical="center" wrapText="1"/>
      <protection hidden="1"/>
    </xf>
    <xf numFmtId="166" fontId="38" fillId="0" borderId="0" xfId="4" applyNumberFormat="1" applyFont="1" applyAlignment="1" applyProtection="1">
      <alignment horizontal="center" wrapText="1"/>
      <protection hidden="1"/>
    </xf>
    <xf numFmtId="166" fontId="38" fillId="0" borderId="16" xfId="4" applyNumberFormat="1" applyFont="1" applyBorder="1" applyAlignment="1" applyProtection="1">
      <alignment horizontal="center" wrapText="1"/>
      <protection hidden="1"/>
    </xf>
    <xf numFmtId="0" fontId="25" fillId="6" borderId="19" xfId="4" applyFont="1" applyFill="1" applyBorder="1" applyAlignment="1" applyProtection="1">
      <alignment horizontal="center" vertical="center" wrapText="1"/>
      <protection hidden="1"/>
    </xf>
    <xf numFmtId="166" fontId="36" fillId="6" borderId="19" xfId="4" applyNumberFormat="1" applyFont="1" applyFill="1" applyBorder="1" applyAlignment="1" applyProtection="1">
      <alignment horizontal="center" wrapText="1"/>
      <protection hidden="1"/>
    </xf>
    <xf numFmtId="166" fontId="59" fillId="0" borderId="0" xfId="4" applyNumberFormat="1" applyFont="1" applyAlignment="1" applyProtection="1">
      <alignment horizontal="left"/>
      <protection hidden="1"/>
    </xf>
    <xf numFmtId="166" fontId="36" fillId="0" borderId="0" xfId="4" applyNumberFormat="1" applyFont="1" applyAlignment="1" applyProtection="1">
      <alignment horizontal="center" wrapText="1"/>
      <protection hidden="1"/>
    </xf>
    <xf numFmtId="0" fontId="39" fillId="0" borderId="13" xfId="4" applyFont="1" applyBorder="1" applyAlignment="1" applyProtection="1">
      <alignment horizontal="left"/>
      <protection hidden="1"/>
    </xf>
    <xf numFmtId="0" fontId="39" fillId="0" borderId="13" xfId="4" applyFont="1" applyBorder="1" applyAlignment="1" applyProtection="1">
      <alignment wrapText="1"/>
      <protection hidden="1"/>
    </xf>
    <xf numFmtId="0" fontId="39" fillId="0" borderId="0" xfId="4" applyFont="1" applyAlignment="1" applyProtection="1">
      <alignment wrapText="1"/>
      <protection hidden="1"/>
    </xf>
    <xf numFmtId="0" fontId="39" fillId="0" borderId="0" xfId="4" applyFont="1" applyAlignment="1" applyProtection="1">
      <alignment vertical="top" wrapText="1"/>
      <protection hidden="1"/>
    </xf>
    <xf numFmtId="0" fontId="39" fillId="0" borderId="16" xfId="4" applyFont="1" applyBorder="1" applyAlignment="1" applyProtection="1">
      <alignment vertical="top" wrapText="1"/>
      <protection hidden="1"/>
    </xf>
    <xf numFmtId="0" fontId="39" fillId="0" borderId="0" xfId="4" applyFont="1" applyAlignment="1" applyProtection="1">
      <alignment horizontal="left"/>
      <protection hidden="1"/>
    </xf>
    <xf numFmtId="43" fontId="36" fillId="0" borderId="0" xfId="8" applyFont="1" applyFill="1" applyBorder="1" applyProtection="1">
      <protection hidden="1"/>
    </xf>
    <xf numFmtId="0" fontId="38" fillId="0" borderId="0" xfId="4" applyFont="1" applyAlignment="1" applyProtection="1">
      <alignment horizontal="center"/>
      <protection hidden="1"/>
    </xf>
    <xf numFmtId="0" fontId="19" fillId="0" borderId="0" xfId="4" applyFont="1" applyProtection="1">
      <protection hidden="1"/>
    </xf>
    <xf numFmtId="37" fontId="30" fillId="0" borderId="0" xfId="4" applyNumberFormat="1" applyFont="1" applyProtection="1">
      <protection hidden="1"/>
    </xf>
    <xf numFmtId="7" fontId="30" fillId="0" borderId="0" xfId="4" applyNumberFormat="1" applyFont="1" applyProtection="1">
      <protection hidden="1"/>
    </xf>
    <xf numFmtId="5" fontId="30" fillId="0" borderId="0" xfId="4" applyNumberFormat="1" applyFont="1" applyProtection="1">
      <protection hidden="1"/>
    </xf>
    <xf numFmtId="0" fontId="30" fillId="0" borderId="0" xfId="4" applyFont="1" applyAlignment="1" applyProtection="1">
      <alignment horizontal="right" wrapText="1"/>
      <protection hidden="1"/>
    </xf>
    <xf numFmtId="0" fontId="30" fillId="0" borderId="1" xfId="4" applyFont="1" applyBorder="1" applyAlignment="1" applyProtection="1">
      <alignment horizontal="left"/>
      <protection hidden="1"/>
    </xf>
    <xf numFmtId="5" fontId="39" fillId="0" borderId="0" xfId="4" applyNumberFormat="1" applyFont="1" applyProtection="1">
      <protection hidden="1"/>
    </xf>
    <xf numFmtId="5" fontId="40" fillId="4" borderId="0" xfId="4" applyNumberFormat="1" applyFont="1" applyFill="1" applyAlignment="1" applyProtection="1">
      <alignment horizontal="right"/>
      <protection hidden="1"/>
    </xf>
    <xf numFmtId="5" fontId="26" fillId="4" borderId="0" xfId="4" applyNumberFormat="1" applyFont="1" applyFill="1" applyAlignment="1" applyProtection="1">
      <alignment horizontal="right"/>
      <protection hidden="1"/>
    </xf>
    <xf numFmtId="43" fontId="36" fillId="0" borderId="16" xfId="8" applyFont="1" applyFill="1" applyBorder="1" applyProtection="1">
      <protection hidden="1"/>
    </xf>
    <xf numFmtId="0" fontId="57" fillId="0" borderId="16" xfId="4" applyFont="1" applyBorder="1" applyAlignment="1" applyProtection="1">
      <alignment horizontal="left" wrapText="1"/>
      <protection hidden="1"/>
    </xf>
    <xf numFmtId="0" fontId="30" fillId="0" borderId="16" xfId="4" applyFont="1" applyBorder="1" applyAlignment="1" applyProtection="1">
      <alignment horizontal="left" vertical="top" wrapText="1"/>
      <protection hidden="1"/>
    </xf>
    <xf numFmtId="7" fontId="25" fillId="0" borderId="0" xfId="4" applyNumberFormat="1" applyFont="1" applyProtection="1">
      <protection hidden="1"/>
    </xf>
    <xf numFmtId="0" fontId="38" fillId="0" borderId="0" xfId="4" applyFont="1" applyAlignment="1" applyProtection="1">
      <alignment horizontal="center" vertical="top"/>
      <protection hidden="1"/>
    </xf>
    <xf numFmtId="0" fontId="25" fillId="3" borderId="0" xfId="4" applyFont="1" applyFill="1" applyAlignment="1" applyProtection="1">
      <alignment horizontal="left" vertical="top" wrapText="1"/>
      <protection hidden="1"/>
    </xf>
    <xf numFmtId="0" fontId="0" fillId="0" borderId="0" xfId="0" applyProtection="1">
      <protection hidden="1"/>
    </xf>
    <xf numFmtId="167" fontId="51" fillId="3" borderId="6" xfId="8" applyNumberFormat="1" applyFont="1" applyFill="1" applyBorder="1" applyProtection="1">
      <protection locked="0"/>
    </xf>
    <xf numFmtId="7" fontId="51" fillId="3" borderId="6" xfId="8" applyNumberFormat="1" applyFont="1" applyFill="1" applyBorder="1" applyProtection="1">
      <protection locked="0"/>
    </xf>
    <xf numFmtId="0" fontId="26" fillId="0" borderId="0" xfId="2"/>
    <xf numFmtId="0" fontId="40" fillId="0" borderId="0" xfId="2" applyFont="1"/>
    <xf numFmtId="0" fontId="28" fillId="0" borderId="0" xfId="3" applyFill="1" applyBorder="1" applyAlignment="1" applyProtection="1">
      <protection hidden="1"/>
    </xf>
    <xf numFmtId="0" fontId="23" fillId="0" borderId="0" xfId="4" applyFont="1" applyProtection="1">
      <protection hidden="1"/>
    </xf>
    <xf numFmtId="0" fontId="45" fillId="0" borderId="0" xfId="4" applyFont="1" applyProtection="1">
      <protection hidden="1"/>
    </xf>
    <xf numFmtId="0" fontId="28" fillId="0" borderId="0" xfId="6" applyAlignment="1" applyProtection="1">
      <alignment horizontal="right"/>
      <protection hidden="1"/>
    </xf>
    <xf numFmtId="0" fontId="23" fillId="3" borderId="8" xfId="4" applyFont="1" applyFill="1" applyBorder="1" applyProtection="1">
      <protection hidden="1"/>
    </xf>
    <xf numFmtId="0" fontId="23" fillId="3" borderId="9" xfId="4" applyFont="1" applyFill="1" applyBorder="1" applyProtection="1">
      <protection hidden="1"/>
    </xf>
    <xf numFmtId="0" fontId="23" fillId="3" borderId="7" xfId="4" applyFont="1" applyFill="1" applyBorder="1" applyProtection="1">
      <protection hidden="1"/>
    </xf>
    <xf numFmtId="0" fontId="23" fillId="0" borderId="0" xfId="4" applyFont="1" applyAlignment="1" applyProtection="1">
      <alignment horizontal="left" vertical="top" wrapText="1"/>
      <protection hidden="1"/>
    </xf>
    <xf numFmtId="0" fontId="46" fillId="0" borderId="0" xfId="4" applyFont="1" applyAlignment="1" applyProtection="1">
      <alignment horizontal="left" vertical="top"/>
      <protection hidden="1"/>
    </xf>
    <xf numFmtId="0" fontId="22" fillId="0" borderId="0" xfId="4" applyFont="1" applyAlignment="1" applyProtection="1">
      <alignment horizontal="left" vertical="top"/>
      <protection hidden="1"/>
    </xf>
    <xf numFmtId="0" fontId="23" fillId="0" borderId="0" xfId="4" applyFont="1" applyAlignment="1" applyProtection="1">
      <alignment horizontal="left" vertical="top"/>
      <protection hidden="1"/>
    </xf>
    <xf numFmtId="0" fontId="22" fillId="0" borderId="0" xfId="4" applyFont="1" applyAlignment="1" applyProtection="1">
      <alignment horizontal="left" vertical="top" shrinkToFit="1"/>
      <protection hidden="1"/>
    </xf>
    <xf numFmtId="49" fontId="28" fillId="0" borderId="0" xfId="3" applyNumberFormat="1" applyFill="1" applyBorder="1" applyAlignment="1" applyProtection="1">
      <alignment horizontal="center" vertical="top" wrapText="1"/>
      <protection hidden="1"/>
    </xf>
    <xf numFmtId="49" fontId="23" fillId="0" borderId="0" xfId="4" applyNumberFormat="1" applyFont="1" applyAlignment="1" applyProtection="1">
      <alignment horizontal="center" vertical="top" wrapText="1"/>
      <protection hidden="1"/>
    </xf>
    <xf numFmtId="0" fontId="5" fillId="0" borderId="0" xfId="4" applyFont="1" applyProtection="1">
      <protection hidden="1"/>
    </xf>
    <xf numFmtId="0" fontId="38" fillId="0" borderId="0" xfId="4" applyFont="1" applyAlignment="1" applyProtection="1">
      <alignment horizontal="left" vertical="top" wrapText="1"/>
      <protection hidden="1"/>
    </xf>
    <xf numFmtId="0" fontId="37" fillId="0" borderId="0" xfId="4" applyFont="1" applyAlignment="1" applyProtection="1">
      <alignment horizontal="center"/>
      <protection hidden="1"/>
    </xf>
    <xf numFmtId="0" fontId="37" fillId="0" borderId="0" xfId="4" applyFont="1" applyAlignment="1" applyProtection="1">
      <alignment vertical="top" wrapText="1"/>
      <protection hidden="1"/>
    </xf>
    <xf numFmtId="0" fontId="23" fillId="0" borderId="0" xfId="4" applyFont="1" applyAlignment="1" applyProtection="1">
      <alignment horizontal="left" wrapText="1"/>
      <protection hidden="1"/>
    </xf>
    <xf numFmtId="0" fontId="46" fillId="0" borderId="0" xfId="4" applyFont="1" applyAlignment="1" applyProtection="1">
      <alignment horizontal="center" vertical="center" wrapText="1"/>
      <protection hidden="1"/>
    </xf>
    <xf numFmtId="0" fontId="37" fillId="0" borderId="4" xfId="4" applyFont="1" applyBorder="1" applyAlignment="1" applyProtection="1">
      <alignment horizontal="center"/>
      <protection hidden="1"/>
    </xf>
    <xf numFmtId="0" fontId="23" fillId="0" borderId="0" xfId="4" applyFont="1" applyAlignment="1" applyProtection="1">
      <alignment horizontal="center"/>
      <protection hidden="1"/>
    </xf>
    <xf numFmtId="0" fontId="47" fillId="0" borderId="0" xfId="0" applyFont="1" applyProtection="1">
      <protection hidden="1"/>
    </xf>
    <xf numFmtId="0" fontId="39" fillId="0" borderId="0" xfId="4" applyFont="1" applyProtection="1">
      <protection hidden="1"/>
    </xf>
    <xf numFmtId="0" fontId="35" fillId="0" borderId="0" xfId="4" applyFont="1" applyAlignment="1" applyProtection="1">
      <alignment vertical="center"/>
      <protection hidden="1"/>
    </xf>
    <xf numFmtId="0" fontId="26" fillId="0" borderId="0" xfId="0" applyFont="1" applyProtection="1">
      <protection hidden="1"/>
    </xf>
    <xf numFmtId="0" fontId="40" fillId="3" borderId="38" xfId="0" applyFont="1" applyFill="1" applyBorder="1" applyAlignment="1" applyProtection="1">
      <alignment horizontal="center"/>
      <protection locked="0"/>
    </xf>
    <xf numFmtId="0" fontId="26" fillId="2" borderId="20" xfId="0" applyFont="1" applyFill="1" applyBorder="1" applyAlignment="1" applyProtection="1">
      <alignment horizontal="right"/>
      <protection hidden="1"/>
    </xf>
    <xf numFmtId="0" fontId="0" fillId="2" borderId="39" xfId="0" applyFill="1" applyBorder="1" applyAlignment="1" applyProtection="1">
      <alignment horizontal="center"/>
      <protection hidden="1"/>
    </xf>
    <xf numFmtId="10" fontId="0" fillId="0" borderId="0" xfId="0" applyNumberFormat="1" applyProtection="1">
      <protection hidden="1"/>
    </xf>
    <xf numFmtId="0" fontId="26" fillId="2" borderId="21" xfId="0" applyFont="1" applyFill="1" applyBorder="1" applyAlignment="1" applyProtection="1">
      <alignment horizontal="right"/>
      <protection hidden="1"/>
    </xf>
    <xf numFmtId="0" fontId="0" fillId="2" borderId="22" xfId="0" applyFill="1" applyBorder="1" applyAlignment="1" applyProtection="1">
      <alignment horizontal="center"/>
      <protection hidden="1"/>
    </xf>
    <xf numFmtId="10" fontId="40" fillId="0" borderId="1" xfId="0" applyNumberFormat="1" applyFont="1" applyBorder="1" applyAlignment="1" applyProtection="1">
      <alignment horizontal="center"/>
      <protection hidden="1"/>
    </xf>
    <xf numFmtId="0" fontId="42" fillId="0" borderId="0" xfId="0" applyFont="1" applyProtection="1">
      <protection hidden="1"/>
    </xf>
    <xf numFmtId="0" fontId="26" fillId="2" borderId="23" xfId="0" applyFont="1" applyFill="1" applyBorder="1" applyAlignment="1" applyProtection="1">
      <alignment horizontal="right"/>
      <protection hidden="1"/>
    </xf>
    <xf numFmtId="0" fontId="0" fillId="2" borderId="24" xfId="0" applyFill="1" applyBorder="1" applyAlignment="1" applyProtection="1">
      <alignment horizontal="center"/>
      <protection hidden="1"/>
    </xf>
    <xf numFmtId="10" fontId="41" fillId="0" borderId="0" xfId="0" applyNumberFormat="1" applyFont="1" applyProtection="1">
      <protection hidden="1"/>
    </xf>
    <xf numFmtId="0" fontId="26" fillId="0" borderId="25" xfId="0" applyFont="1" applyBorder="1" applyProtection="1">
      <protection hidden="1"/>
    </xf>
    <xf numFmtId="0" fontId="26" fillId="0" borderId="26" xfId="0" applyFont="1" applyBorder="1" applyProtection="1">
      <protection hidden="1"/>
    </xf>
    <xf numFmtId="0" fontId="26" fillId="0" borderId="27" xfId="0" applyFont="1" applyBorder="1" applyProtection="1">
      <protection hidden="1"/>
    </xf>
    <xf numFmtId="10" fontId="26" fillId="0" borderId="0" xfId="0" applyNumberFormat="1" applyFont="1" applyProtection="1">
      <protection hidden="1"/>
    </xf>
    <xf numFmtId="164" fontId="26" fillId="0" borderId="0" xfId="0" applyNumberFormat="1" applyFont="1" applyProtection="1">
      <protection hidden="1"/>
    </xf>
    <xf numFmtId="10" fontId="26" fillId="3" borderId="6" xfId="0" applyNumberFormat="1" applyFont="1" applyFill="1" applyBorder="1" applyProtection="1">
      <protection locked="0"/>
    </xf>
    <xf numFmtId="0" fontId="26" fillId="0" borderId="0" xfId="2" quotePrefix="1" applyAlignment="1">
      <alignment vertical="top"/>
    </xf>
    <xf numFmtId="0" fontId="36" fillId="0" borderId="0" xfId="4" applyFont="1" applyAlignment="1" applyProtection="1">
      <alignment horizontal="left"/>
      <protection hidden="1"/>
    </xf>
    <xf numFmtId="0" fontId="22" fillId="0" borderId="0" xfId="4" applyFont="1" applyAlignment="1" applyProtection="1">
      <alignment horizontal="left" vertical="top" shrinkToFit="1"/>
      <protection locked="0"/>
    </xf>
    <xf numFmtId="0" fontId="23" fillId="0" borderId="0" xfId="4" applyFont="1" applyAlignment="1" applyProtection="1">
      <alignment horizontal="left" vertical="top" shrinkToFit="1"/>
      <protection locked="0"/>
    </xf>
    <xf numFmtId="0" fontId="44" fillId="0" borderId="1" xfId="4" applyFont="1" applyBorder="1" applyAlignment="1" applyProtection="1">
      <alignment horizontal="left" vertical="top"/>
      <protection hidden="1"/>
    </xf>
    <xf numFmtId="0" fontId="44" fillId="0" borderId="1" xfId="4" applyFont="1" applyBorder="1" applyProtection="1">
      <protection hidden="1"/>
    </xf>
    <xf numFmtId="0" fontId="23" fillId="0" borderId="1" xfId="4" applyFont="1" applyBorder="1" applyProtection="1">
      <protection hidden="1"/>
    </xf>
    <xf numFmtId="0" fontId="37" fillId="0" borderId="1" xfId="4" applyFont="1" applyBorder="1" applyAlignment="1" applyProtection="1">
      <alignment horizontal="center"/>
      <protection hidden="1"/>
    </xf>
    <xf numFmtId="0" fontId="37" fillId="0" borderId="4" xfId="4" applyFont="1" applyBorder="1" applyProtection="1">
      <protection hidden="1"/>
    </xf>
    <xf numFmtId="0" fontId="44" fillId="0" borderId="0" xfId="4" applyFont="1" applyProtection="1">
      <protection hidden="1"/>
    </xf>
    <xf numFmtId="0" fontId="26" fillId="0" borderId="0" xfId="2" applyAlignment="1">
      <alignment vertical="top"/>
    </xf>
    <xf numFmtId="0" fontId="78" fillId="0" borderId="0" xfId="2" applyFont="1" applyAlignment="1">
      <alignment horizontal="center" vertical="top"/>
    </xf>
    <xf numFmtId="0" fontId="81" fillId="0" borderId="0" xfId="2" applyFont="1" applyAlignment="1">
      <alignment vertical="top"/>
    </xf>
    <xf numFmtId="0" fontId="87" fillId="0" borderId="0" xfId="2" applyFont="1" applyAlignment="1">
      <alignment vertical="top"/>
    </xf>
    <xf numFmtId="0" fontId="79" fillId="0" borderId="0" xfId="2" applyFont="1" applyAlignment="1">
      <alignment vertical="top"/>
    </xf>
    <xf numFmtId="0" fontId="83" fillId="0" borderId="0" xfId="2" applyFont="1" applyAlignment="1">
      <alignment vertical="top"/>
    </xf>
    <xf numFmtId="0" fontId="26" fillId="3" borderId="6" xfId="2" applyFill="1" applyBorder="1" applyAlignment="1">
      <alignment horizontal="center" vertical="top"/>
    </xf>
    <xf numFmtId="0" fontId="83" fillId="0" borderId="0" xfId="2" applyFont="1" applyAlignment="1">
      <alignment horizontal="left" vertical="top"/>
    </xf>
    <xf numFmtId="0" fontId="26" fillId="0" borderId="0" xfId="2" applyAlignment="1">
      <alignment horizontal="center" vertical="top"/>
    </xf>
    <xf numFmtId="0" fontId="84" fillId="0" borderId="0" xfId="2" applyFont="1" applyAlignment="1">
      <alignment vertical="top"/>
    </xf>
    <xf numFmtId="0" fontId="26" fillId="0" borderId="0" xfId="2" applyAlignment="1">
      <alignment horizontal="left" vertical="top"/>
    </xf>
    <xf numFmtId="0" fontId="26" fillId="0" borderId="6" xfId="2" applyBorder="1" applyAlignment="1">
      <alignment horizontal="center" vertical="top"/>
    </xf>
    <xf numFmtId="0" fontId="88" fillId="0" borderId="0" xfId="2" applyFont="1" applyAlignment="1">
      <alignment vertical="top"/>
    </xf>
    <xf numFmtId="0" fontId="80" fillId="0" borderId="0" xfId="2" applyFont="1" applyAlignment="1">
      <alignment vertical="top"/>
    </xf>
    <xf numFmtId="0" fontId="26" fillId="0" borderId="0" xfId="2" applyAlignment="1">
      <alignment vertical="top" wrapText="1"/>
    </xf>
    <xf numFmtId="0" fontId="40" fillId="0" borderId="0" xfId="2" applyFont="1" applyAlignment="1">
      <alignment horizontal="left" vertical="top" wrapText="1"/>
    </xf>
    <xf numFmtId="0" fontId="82" fillId="0" borderId="0" xfId="1" applyFont="1" applyAlignment="1" applyProtection="1">
      <alignment vertical="top"/>
    </xf>
    <xf numFmtId="0" fontId="26" fillId="0" borderId="0" xfId="2" applyAlignment="1">
      <alignment horizontal="left" vertical="top" wrapText="1"/>
    </xf>
    <xf numFmtId="0" fontId="80" fillId="0" borderId="0" xfId="2" applyFont="1" applyAlignment="1">
      <alignment horizontal="left" vertical="top"/>
    </xf>
    <xf numFmtId="0" fontId="80" fillId="0" borderId="0" xfId="2" applyFont="1" applyAlignment="1">
      <alignment vertical="top" wrapText="1"/>
    </xf>
    <xf numFmtId="0" fontId="86" fillId="0" borderId="0" xfId="2" applyFont="1" applyAlignment="1">
      <alignment vertical="top"/>
    </xf>
    <xf numFmtId="0" fontId="81" fillId="0" borderId="0" xfId="2" applyFont="1" applyAlignment="1">
      <alignment vertical="top" wrapText="1"/>
    </xf>
    <xf numFmtId="0" fontId="25" fillId="0" borderId="0" xfId="4" applyFont="1" applyProtection="1">
      <protection locked="0"/>
    </xf>
    <xf numFmtId="0" fontId="38" fillId="0" borderId="0" xfId="4" applyFont="1" applyAlignment="1" applyProtection="1">
      <alignment wrapText="1"/>
      <protection locked="0"/>
    </xf>
    <xf numFmtId="0" fontId="38" fillId="0" borderId="0" xfId="4" applyFont="1" applyAlignment="1" applyProtection="1">
      <alignment horizontal="left" vertical="center" wrapText="1"/>
      <protection locked="0"/>
    </xf>
    <xf numFmtId="0" fontId="50" fillId="0" borderId="0" xfId="4" applyFont="1" applyAlignment="1" applyProtection="1">
      <alignment horizontal="left" vertical="center" wrapText="1"/>
      <protection locked="0"/>
    </xf>
    <xf numFmtId="0" fontId="50" fillId="0" borderId="0" xfId="4" applyFont="1" applyAlignment="1" applyProtection="1">
      <alignment wrapText="1"/>
      <protection locked="0"/>
    </xf>
    <xf numFmtId="0" fontId="38" fillId="0" borderId="0" xfId="4" applyFont="1" applyAlignment="1" applyProtection="1">
      <alignment horizontal="left"/>
      <protection locked="0"/>
    </xf>
    <xf numFmtId="0" fontId="54" fillId="0" borderId="0" xfId="4" applyFont="1" applyAlignment="1" applyProtection="1">
      <alignment horizontal="left" vertical="center" wrapText="1"/>
      <protection locked="0"/>
    </xf>
    <xf numFmtId="0" fontId="54" fillId="0" borderId="0" xfId="4" applyFont="1" applyProtection="1">
      <protection locked="0"/>
    </xf>
    <xf numFmtId="0" fontId="54" fillId="0" borderId="0" xfId="4" applyFont="1" applyAlignment="1" applyProtection="1">
      <alignment wrapText="1"/>
      <protection locked="0"/>
    </xf>
    <xf numFmtId="0" fontId="38" fillId="0" borderId="0" xfId="4" applyFont="1" applyProtection="1">
      <protection locked="0"/>
    </xf>
    <xf numFmtId="0" fontId="25" fillId="4" borderId="2" xfId="4" applyFont="1" applyFill="1" applyBorder="1" applyProtection="1">
      <protection locked="0"/>
    </xf>
    <xf numFmtId="0" fontId="25" fillId="4" borderId="2" xfId="4" applyFont="1" applyFill="1" applyBorder="1" applyAlignment="1" applyProtection="1">
      <alignment horizontal="center"/>
      <protection locked="0"/>
    </xf>
    <xf numFmtId="0" fontId="36" fillId="0" borderId="0" xfId="4" applyFont="1" applyProtection="1">
      <protection locked="0"/>
    </xf>
    <xf numFmtId="43" fontId="25" fillId="0" borderId="0" xfId="4" applyNumberFormat="1" applyFont="1" applyProtection="1">
      <protection locked="0"/>
    </xf>
    <xf numFmtId="0" fontId="11" fillId="0" borderId="0" xfId="4" applyFont="1" applyAlignment="1" applyProtection="1">
      <alignment horizontal="center" vertical="center" wrapText="1"/>
      <protection locked="0"/>
    </xf>
    <xf numFmtId="0" fontId="25" fillId="0" borderId="0" xfId="4" applyFont="1" applyAlignment="1" applyProtection="1">
      <alignment horizontal="center" vertical="center" wrapText="1"/>
      <protection locked="0"/>
    </xf>
    <xf numFmtId="0" fontId="14" fillId="0" borderId="0" xfId="4" quotePrefix="1" applyFont="1" applyProtection="1">
      <protection locked="0"/>
    </xf>
    <xf numFmtId="0" fontId="26" fillId="0" borderId="0" xfId="4" applyFont="1" applyProtection="1">
      <protection locked="0"/>
    </xf>
    <xf numFmtId="5" fontId="36" fillId="0" borderId="0" xfId="4" applyNumberFormat="1" applyFont="1" applyProtection="1">
      <protection locked="0"/>
    </xf>
    <xf numFmtId="43" fontId="36" fillId="0" borderId="0" xfId="4" applyNumberFormat="1" applyFont="1" applyProtection="1">
      <protection locked="0"/>
    </xf>
    <xf numFmtId="0" fontId="14" fillId="0" borderId="0" xfId="4" applyFont="1" applyProtection="1">
      <protection locked="0"/>
    </xf>
    <xf numFmtId="7" fontId="25" fillId="0" borderId="0" xfId="4" applyNumberFormat="1" applyFont="1" applyProtection="1">
      <protection locked="0"/>
    </xf>
    <xf numFmtId="0" fontId="0" fillId="0" borderId="0" xfId="0" applyProtection="1">
      <protection locked="0"/>
    </xf>
    <xf numFmtId="9" fontId="25" fillId="0" borderId="1" xfId="4" applyNumberFormat="1" applyFont="1" applyBorder="1" applyAlignment="1" applyProtection="1">
      <alignment horizontal="left" indent="1"/>
      <protection hidden="1"/>
    </xf>
    <xf numFmtId="0" fontId="51" fillId="0" borderId="42" xfId="9" applyNumberFormat="1" applyFont="1" applyBorder="1" applyAlignment="1" applyProtection="1">
      <alignment horizontal="center"/>
      <protection hidden="1"/>
    </xf>
    <xf numFmtId="0" fontId="25" fillId="0" borderId="0" xfId="4" applyFont="1" applyAlignment="1" applyProtection="1">
      <alignment vertical="top"/>
      <protection hidden="1"/>
    </xf>
    <xf numFmtId="0" fontId="25" fillId="0" borderId="0" xfId="4" applyFont="1" applyAlignment="1" applyProtection="1">
      <alignment vertical="top" wrapText="1"/>
      <protection hidden="1"/>
    </xf>
    <xf numFmtId="0" fontId="51" fillId="0" borderId="17" xfId="9" applyNumberFormat="1" applyFont="1" applyBorder="1" applyAlignment="1" applyProtection="1">
      <alignment horizontal="center"/>
      <protection hidden="1"/>
    </xf>
    <xf numFmtId="0" fontId="25" fillId="4" borderId="4" xfId="4" applyFont="1" applyFill="1" applyBorder="1" applyAlignment="1" applyProtection="1">
      <alignment horizontal="left"/>
      <protection hidden="1"/>
    </xf>
    <xf numFmtId="164" fontId="51" fillId="0" borderId="1" xfId="4" applyNumberFormat="1" applyFont="1" applyBorder="1" applyAlignment="1" applyProtection="1">
      <alignment horizontal="center"/>
      <protection hidden="1"/>
    </xf>
    <xf numFmtId="0" fontId="50" fillId="0" borderId="0" xfId="4" applyFont="1" applyAlignment="1" applyProtection="1">
      <alignment horizontal="center" vertical="top"/>
      <protection hidden="1"/>
    </xf>
    <xf numFmtId="0" fontId="50" fillId="0" borderId="0" xfId="4" applyFont="1" applyAlignment="1" applyProtection="1">
      <alignment vertical="top"/>
      <protection hidden="1"/>
    </xf>
    <xf numFmtId="9" fontId="25" fillId="0" borderId="0" xfId="4" applyNumberFormat="1" applyFont="1" applyAlignment="1" applyProtection="1">
      <alignment horizontal="left" indent="1"/>
      <protection hidden="1"/>
    </xf>
    <xf numFmtId="164" fontId="51" fillId="0" borderId="0" xfId="4" applyNumberFormat="1" applyFont="1" applyAlignment="1" applyProtection="1">
      <alignment horizontal="center"/>
      <protection hidden="1"/>
    </xf>
    <xf numFmtId="0" fontId="51" fillId="0" borderId="0" xfId="9" applyNumberFormat="1" applyFont="1" applyBorder="1" applyAlignment="1" applyProtection="1">
      <alignment horizontal="center"/>
      <protection hidden="1"/>
    </xf>
    <xf numFmtId="0" fontId="51" fillId="4" borderId="4" xfId="4" applyFont="1" applyFill="1" applyBorder="1" applyAlignment="1" applyProtection="1">
      <alignment horizontal="center" wrapText="1"/>
      <protection hidden="1"/>
    </xf>
    <xf numFmtId="0" fontId="51" fillId="0" borderId="1" xfId="9" applyNumberFormat="1" applyFont="1" applyBorder="1" applyAlignment="1" applyProtection="1">
      <alignment horizontal="center"/>
      <protection hidden="1"/>
    </xf>
    <xf numFmtId="0" fontId="51" fillId="4" borderId="3" xfId="4" applyFont="1" applyFill="1" applyBorder="1" applyAlignment="1" applyProtection="1">
      <alignment horizontal="center"/>
      <protection hidden="1"/>
    </xf>
    <xf numFmtId="0" fontId="52" fillId="2" borderId="33" xfId="4" applyFont="1" applyFill="1" applyBorder="1" applyAlignment="1" applyProtection="1">
      <alignment horizontal="center"/>
      <protection hidden="1"/>
    </xf>
    <xf numFmtId="0" fontId="51" fillId="0" borderId="17" xfId="4" applyFont="1" applyBorder="1" applyAlignment="1" applyProtection="1">
      <alignment horizontal="center" vertical="top" wrapText="1"/>
      <protection hidden="1"/>
    </xf>
    <xf numFmtId="0" fontId="8" fillId="0" borderId="1" xfId="4" applyFont="1" applyBorder="1" applyAlignment="1" applyProtection="1">
      <alignment vertical="top"/>
      <protection hidden="1"/>
    </xf>
    <xf numFmtId="0" fontId="25" fillId="0" borderId="1" xfId="4" applyFont="1" applyBorder="1" applyAlignment="1" applyProtection="1">
      <alignment vertical="top"/>
      <protection hidden="1"/>
    </xf>
    <xf numFmtId="0" fontId="90" fillId="0" borderId="1" xfId="4" applyFont="1" applyBorder="1" applyAlignment="1" applyProtection="1">
      <alignment vertical="top"/>
      <protection hidden="1"/>
    </xf>
    <xf numFmtId="0" fontId="25" fillId="0" borderId="1" xfId="4" applyFont="1" applyBorder="1" applyAlignment="1" applyProtection="1">
      <alignment vertical="top" wrapText="1"/>
      <protection hidden="1"/>
    </xf>
    <xf numFmtId="0" fontId="51" fillId="0" borderId="42" xfId="4" applyFont="1" applyBorder="1" applyAlignment="1" applyProtection="1">
      <alignment horizontal="center" vertical="top" wrapText="1"/>
      <protection hidden="1"/>
    </xf>
    <xf numFmtId="0" fontId="36" fillId="2" borderId="0" xfId="4" applyFont="1" applyFill="1" applyProtection="1">
      <protection hidden="1"/>
    </xf>
    <xf numFmtId="0" fontId="36" fillId="2" borderId="4" xfId="4" applyFont="1" applyFill="1" applyBorder="1" applyProtection="1">
      <protection hidden="1"/>
    </xf>
    <xf numFmtId="0" fontId="39" fillId="2" borderId="4" xfId="4" applyFont="1" applyFill="1" applyBorder="1" applyAlignment="1" applyProtection="1">
      <alignment vertical="top" wrapText="1"/>
      <protection hidden="1"/>
    </xf>
    <xf numFmtId="0" fontId="53" fillId="2" borderId="4" xfId="4" applyFont="1" applyFill="1" applyBorder="1" applyAlignment="1" applyProtection="1">
      <alignment horizontal="center" vertical="top" wrapText="1"/>
      <protection hidden="1"/>
    </xf>
    <xf numFmtId="0" fontId="51" fillId="0" borderId="0" xfId="4" applyFont="1" applyAlignment="1" applyProtection="1">
      <alignment horizontal="center" vertical="top" wrapText="1"/>
      <protection hidden="1"/>
    </xf>
    <xf numFmtId="0" fontId="52" fillId="2" borderId="43" xfId="4" applyFont="1" applyFill="1" applyBorder="1" applyAlignment="1" applyProtection="1">
      <alignment horizontal="center"/>
      <protection hidden="1"/>
    </xf>
    <xf numFmtId="0" fontId="15" fillId="0" borderId="0" xfId="4" applyFont="1" applyAlignment="1" applyProtection="1">
      <alignment vertical="top"/>
      <protection hidden="1"/>
    </xf>
    <xf numFmtId="10" fontId="51" fillId="0" borderId="0" xfId="4" applyNumberFormat="1" applyFont="1" applyAlignment="1" applyProtection="1">
      <alignment vertical="top" wrapText="1"/>
      <protection hidden="1"/>
    </xf>
    <xf numFmtId="0" fontId="52" fillId="2" borderId="4" xfId="4" applyFont="1" applyFill="1" applyBorder="1" applyAlignment="1" applyProtection="1">
      <alignment horizontal="center"/>
      <protection hidden="1"/>
    </xf>
    <xf numFmtId="0" fontId="51" fillId="0" borderId="1" xfId="4" applyFont="1" applyBorder="1" applyAlignment="1" applyProtection="1">
      <alignment horizontal="center" vertical="top" wrapText="1"/>
      <protection hidden="1"/>
    </xf>
    <xf numFmtId="0" fontId="25" fillId="0" borderId="45" xfId="4" applyFont="1" applyBorder="1" applyProtection="1">
      <protection hidden="1"/>
    </xf>
    <xf numFmtId="0" fontId="25" fillId="0" borderId="0" xfId="4" applyFont="1" applyAlignment="1" applyProtection="1">
      <alignment horizontal="right"/>
      <protection hidden="1"/>
    </xf>
    <xf numFmtId="0" fontId="0" fillId="0" borderId="44" xfId="0" applyBorder="1"/>
    <xf numFmtId="0" fontId="91" fillId="0" borderId="11" xfId="0" applyFont="1" applyBorder="1"/>
    <xf numFmtId="0" fontId="0" fillId="0" borderId="11" xfId="0" applyBorder="1"/>
    <xf numFmtId="5" fontId="25" fillId="0" borderId="9" xfId="8" applyNumberFormat="1" applyFont="1" applyFill="1" applyBorder="1" applyAlignment="1" applyProtection="1">
      <alignment horizontal="right" vertical="top" wrapText="1"/>
      <protection hidden="1"/>
    </xf>
    <xf numFmtId="5" fontId="51" fillId="0" borderId="9" xfId="4" applyNumberFormat="1" applyFont="1" applyBorder="1" applyAlignment="1" applyProtection="1">
      <alignment horizontal="right" vertical="top" wrapText="1"/>
      <protection hidden="1"/>
    </xf>
    <xf numFmtId="5" fontId="25" fillId="0" borderId="0" xfId="8" applyNumberFormat="1" applyFont="1" applyFill="1" applyBorder="1" applyAlignment="1" applyProtection="1">
      <alignment horizontal="right" vertical="top" wrapText="1"/>
      <protection hidden="1"/>
    </xf>
    <xf numFmtId="5" fontId="51" fillId="0" borderId="0" xfId="4" applyNumberFormat="1" applyFont="1" applyAlignment="1" applyProtection="1">
      <alignment horizontal="right" vertical="top" wrapText="1"/>
      <protection hidden="1"/>
    </xf>
    <xf numFmtId="5" fontId="25" fillId="0" borderId="9" xfId="8" applyNumberFormat="1" applyFont="1" applyFill="1" applyBorder="1" applyAlignment="1" applyProtection="1">
      <alignment horizontal="right" vertical="top"/>
      <protection hidden="1"/>
    </xf>
    <xf numFmtId="5" fontId="51" fillId="0" borderId="9" xfId="4" applyNumberFormat="1" applyFont="1" applyBorder="1" applyAlignment="1" applyProtection="1">
      <alignment horizontal="right" vertical="top"/>
      <protection hidden="1"/>
    </xf>
    <xf numFmtId="5" fontId="25" fillId="0" borderId="0" xfId="8" applyNumberFormat="1" applyFont="1" applyFill="1" applyBorder="1" applyAlignment="1" applyProtection="1">
      <alignment horizontal="right" vertical="top"/>
      <protection hidden="1"/>
    </xf>
    <xf numFmtId="5" fontId="51" fillId="0" borderId="0" xfId="4" applyNumberFormat="1" applyFont="1" applyAlignment="1" applyProtection="1">
      <alignment horizontal="right" vertical="top"/>
      <protection hidden="1"/>
    </xf>
    <xf numFmtId="0" fontId="38" fillId="0" borderId="0" xfId="4" applyFont="1" applyAlignment="1" applyProtection="1">
      <alignment wrapText="1"/>
      <protection hidden="1"/>
    </xf>
    <xf numFmtId="0" fontId="38" fillId="0" borderId="0" xfId="4" applyFont="1" applyAlignment="1" applyProtection="1">
      <alignment horizontal="left" vertical="center" wrapText="1"/>
      <protection hidden="1"/>
    </xf>
    <xf numFmtId="0" fontId="50" fillId="0" borderId="0" xfId="4" applyFont="1" applyAlignment="1" applyProtection="1">
      <alignment horizontal="left" vertical="center" wrapText="1"/>
      <protection hidden="1"/>
    </xf>
    <xf numFmtId="0" fontId="50" fillId="0" borderId="0" xfId="4" applyFont="1" applyAlignment="1" applyProtection="1">
      <alignment wrapText="1"/>
      <protection hidden="1"/>
    </xf>
    <xf numFmtId="0" fontId="54" fillId="0" borderId="0" xfId="4" applyFont="1" applyAlignment="1" applyProtection="1">
      <alignment horizontal="left" vertical="center" wrapText="1"/>
      <protection hidden="1"/>
    </xf>
    <xf numFmtId="0" fontId="25" fillId="4" borderId="2" xfId="4" applyFont="1" applyFill="1" applyBorder="1" applyProtection="1">
      <protection hidden="1"/>
    </xf>
    <xf numFmtId="0" fontId="25" fillId="4" borderId="2" xfId="4" applyFont="1" applyFill="1" applyBorder="1" applyAlignment="1" applyProtection="1">
      <alignment horizontal="center"/>
      <protection hidden="1"/>
    </xf>
    <xf numFmtId="0" fontId="0" fillId="0" borderId="44" xfId="0" applyBorder="1" applyProtection="1">
      <protection hidden="1"/>
    </xf>
    <xf numFmtId="0" fontId="92" fillId="0" borderId="11" xfId="3" applyFont="1" applyBorder="1" applyAlignment="1" applyProtection="1">
      <alignment horizontal="right"/>
      <protection hidden="1"/>
    </xf>
    <xf numFmtId="0" fontId="91" fillId="0" borderId="11" xfId="0" applyFont="1" applyBorder="1" applyProtection="1">
      <protection hidden="1"/>
    </xf>
    <xf numFmtId="0" fontId="0" fillId="0" borderId="11" xfId="0" applyBorder="1" applyProtection="1">
      <protection hidden="1"/>
    </xf>
    <xf numFmtId="43" fontId="25" fillId="0" borderId="0" xfId="4" applyNumberFormat="1" applyFont="1" applyProtection="1">
      <protection hidden="1"/>
    </xf>
    <xf numFmtId="0" fontId="11" fillId="0" borderId="0" xfId="4" applyFont="1" applyAlignment="1" applyProtection="1">
      <alignment horizontal="center" vertical="center" wrapText="1"/>
      <protection hidden="1"/>
    </xf>
    <xf numFmtId="0" fontId="25" fillId="0" borderId="0" xfId="4" applyFont="1" applyAlignment="1" applyProtection="1">
      <alignment horizontal="center" vertical="center" wrapText="1"/>
      <protection hidden="1"/>
    </xf>
    <xf numFmtId="0" fontId="14" fillId="0" borderId="0" xfId="4" quotePrefix="1" applyFont="1" applyProtection="1">
      <protection hidden="1"/>
    </xf>
    <xf numFmtId="0" fontId="26" fillId="0" borderId="0" xfId="2" applyProtection="1">
      <protection hidden="1"/>
    </xf>
    <xf numFmtId="5" fontId="36" fillId="0" borderId="0" xfId="4" applyNumberFormat="1" applyFont="1" applyProtection="1">
      <protection hidden="1"/>
    </xf>
    <xf numFmtId="43" fontId="36" fillId="0" borderId="0" xfId="4" applyNumberFormat="1" applyFont="1" applyProtection="1">
      <protection hidden="1"/>
    </xf>
    <xf numFmtId="0" fontId="14" fillId="0" borderId="0" xfId="4" applyFont="1" applyProtection="1">
      <protection hidden="1"/>
    </xf>
    <xf numFmtId="0" fontId="26" fillId="2" borderId="1" xfId="0" applyFont="1" applyFill="1" applyBorder="1" applyAlignment="1">
      <alignment horizontal="left" vertical="top"/>
    </xf>
    <xf numFmtId="0" fontId="26" fillId="2" borderId="1" xfId="0" applyFont="1" applyFill="1" applyBorder="1" applyAlignment="1">
      <alignment horizontal="center" vertical="top" wrapText="1"/>
    </xf>
    <xf numFmtId="0" fontId="40" fillId="2" borderId="1" xfId="0" applyFont="1" applyFill="1" applyBorder="1" applyAlignment="1">
      <alignment horizontal="center" vertical="top" wrapText="1"/>
    </xf>
    <xf numFmtId="0" fontId="26" fillId="2" borderId="1" xfId="0" applyFont="1" applyFill="1" applyBorder="1" applyAlignment="1">
      <alignment horizontal="center" vertical="top"/>
    </xf>
    <xf numFmtId="0" fontId="26" fillId="0" borderId="0" xfId="0" applyFont="1" applyAlignment="1">
      <alignment vertical="top"/>
    </xf>
    <xf numFmtId="0" fontId="0" fillId="0" borderId="0" xfId="0" applyAlignment="1">
      <alignment vertical="top"/>
    </xf>
    <xf numFmtId="10" fontId="26" fillId="0" borderId="0" xfId="0" applyNumberFormat="1" applyFont="1" applyAlignment="1">
      <alignment vertical="top" wrapText="1"/>
    </xf>
    <xf numFmtId="10" fontId="40" fillId="4" borderId="0" xfId="0" applyNumberFormat="1" applyFont="1" applyFill="1" applyAlignment="1">
      <alignment horizontal="center" vertical="top"/>
    </xf>
    <xf numFmtId="10" fontId="26" fillId="4" borderId="0" xfId="0" applyNumberFormat="1" applyFont="1" applyFill="1" applyAlignment="1">
      <alignment horizontal="center" vertical="top"/>
    </xf>
    <xf numFmtId="0" fontId="40" fillId="0" borderId="0" xfId="0" applyFont="1" applyAlignment="1">
      <alignment horizontal="center" vertical="top"/>
    </xf>
    <xf numFmtId="0" fontId="0" fillId="0" borderId="0" xfId="0" applyAlignment="1">
      <alignment horizontal="center" vertical="top"/>
    </xf>
    <xf numFmtId="0" fontId="26" fillId="2" borderId="1" xfId="0" applyFont="1" applyFill="1" applyBorder="1" applyAlignment="1">
      <alignment vertical="top"/>
    </xf>
    <xf numFmtId="164" fontId="40" fillId="4" borderId="0" xfId="0" applyNumberFormat="1" applyFont="1" applyFill="1" applyAlignment="1">
      <alignment horizontal="center" vertical="top"/>
    </xf>
    <xf numFmtId="164" fontId="26" fillId="4" borderId="0" xfId="0" applyNumberFormat="1" applyFont="1" applyFill="1" applyAlignment="1">
      <alignment horizontal="center" vertical="top"/>
    </xf>
    <xf numFmtId="0" fontId="26" fillId="0" borderId="0" xfId="0" applyFont="1" applyAlignment="1">
      <alignment vertical="center" wrapText="1"/>
    </xf>
    <xf numFmtId="10" fontId="26" fillId="0" borderId="0" xfId="0" applyNumberFormat="1" applyFont="1" applyAlignment="1">
      <alignment vertical="center" wrapText="1"/>
    </xf>
    <xf numFmtId="0" fontId="26" fillId="0" borderId="0" xfId="0" applyFont="1"/>
    <xf numFmtId="0" fontId="43" fillId="0" borderId="0" xfId="0" applyFont="1"/>
    <xf numFmtId="0" fontId="26" fillId="0" borderId="46" xfId="2" applyBorder="1"/>
    <xf numFmtId="0" fontId="26" fillId="0" borderId="25" xfId="2" applyBorder="1"/>
    <xf numFmtId="0" fontId="26" fillId="0" borderId="25" xfId="2" applyBorder="1" applyAlignment="1">
      <alignment horizontal="center" wrapText="1"/>
    </xf>
    <xf numFmtId="0" fontId="26" fillId="0" borderId="25" xfId="2" applyBorder="1" applyAlignment="1">
      <alignment horizontal="center"/>
    </xf>
    <xf numFmtId="0" fontId="26" fillId="0" borderId="47" xfId="2" applyBorder="1" applyAlignment="1">
      <alignment horizontal="center"/>
    </xf>
    <xf numFmtId="0" fontId="26" fillId="0" borderId="48" xfId="2" applyBorder="1"/>
    <xf numFmtId="0" fontId="26" fillId="0" borderId="27" xfId="2" applyBorder="1"/>
    <xf numFmtId="0" fontId="26" fillId="0" borderId="27" xfId="2" applyBorder="1" applyAlignment="1">
      <alignment horizontal="center"/>
    </xf>
    <xf numFmtId="0" fontId="26" fillId="0" borderId="49" xfId="2" applyBorder="1" applyAlignment="1">
      <alignment horizontal="center"/>
    </xf>
    <xf numFmtId="0" fontId="26" fillId="0" borderId="15" xfId="2" applyBorder="1"/>
    <xf numFmtId="0" fontId="26" fillId="0" borderId="0" xfId="2" applyAlignment="1">
      <alignment horizontal="center"/>
    </xf>
    <xf numFmtId="0" fontId="26" fillId="0" borderId="16" xfId="2" applyBorder="1" applyAlignment="1">
      <alignment horizontal="center"/>
    </xf>
    <xf numFmtId="0" fontId="26" fillId="0" borderId="50" xfId="2" applyBorder="1"/>
    <xf numFmtId="0" fontId="26" fillId="0" borderId="2" xfId="2" applyBorder="1"/>
    <xf numFmtId="0" fontId="26" fillId="0" borderId="2" xfId="2" applyBorder="1" applyAlignment="1">
      <alignment horizontal="center"/>
    </xf>
    <xf numFmtId="0" fontId="84" fillId="0" borderId="51" xfId="2" applyFont="1" applyBorder="1" applyAlignment="1">
      <alignment horizontal="center"/>
    </xf>
    <xf numFmtId="0" fontId="26" fillId="2" borderId="2" xfId="2" applyFill="1" applyBorder="1"/>
    <xf numFmtId="0" fontId="26" fillId="2" borderId="2" xfId="2" applyFill="1" applyBorder="1" applyAlignment="1">
      <alignment horizontal="center"/>
    </xf>
    <xf numFmtId="0" fontId="26" fillId="2" borderId="51" xfId="2" applyFill="1" applyBorder="1" applyAlignment="1">
      <alignment horizontal="center"/>
    </xf>
    <xf numFmtId="0" fontId="26" fillId="0" borderId="52" xfId="2" applyBorder="1"/>
    <xf numFmtId="0" fontId="84" fillId="0" borderId="2" xfId="2" applyFont="1" applyBorder="1" applyAlignment="1">
      <alignment horizontal="center"/>
    </xf>
    <xf numFmtId="0" fontId="26" fillId="0" borderId="51" xfId="2" applyBorder="1" applyAlignment="1">
      <alignment horizontal="center"/>
    </xf>
    <xf numFmtId="0" fontId="84" fillId="2" borderId="2" xfId="2" applyFont="1" applyFill="1" applyBorder="1" applyAlignment="1">
      <alignment horizontal="center"/>
    </xf>
    <xf numFmtId="0" fontId="26" fillId="0" borderId="53" xfId="2" applyBorder="1"/>
    <xf numFmtId="0" fontId="26" fillId="0" borderId="18" xfId="2" applyBorder="1"/>
    <xf numFmtId="0" fontId="26" fillId="2" borderId="54" xfId="2" applyFill="1" applyBorder="1"/>
    <xf numFmtId="0" fontId="26" fillId="2" borderId="54" xfId="2" applyFill="1" applyBorder="1" applyAlignment="1">
      <alignment horizontal="center"/>
    </xf>
    <xf numFmtId="0" fontId="84" fillId="2" borderId="54" xfId="2" applyFont="1" applyFill="1" applyBorder="1" applyAlignment="1">
      <alignment horizontal="center"/>
    </xf>
    <xf numFmtId="0" fontId="26" fillId="2" borderId="55" xfId="2" applyFill="1" applyBorder="1" applyAlignment="1">
      <alignment horizontal="center"/>
    </xf>
    <xf numFmtId="0" fontId="91" fillId="0" borderId="0" xfId="2" applyFont="1"/>
    <xf numFmtId="0" fontId="92" fillId="0" borderId="0" xfId="3" applyFont="1" applyProtection="1"/>
    <xf numFmtId="0" fontId="25" fillId="0" borderId="0" xfId="4" applyFont="1" applyAlignment="1" applyProtection="1">
      <alignment vertical="top"/>
      <protection locked="0"/>
    </xf>
    <xf numFmtId="0" fontId="8" fillId="0" borderId="1" xfId="4" applyFont="1" applyBorder="1" applyAlignment="1" applyProtection="1">
      <alignment vertical="top"/>
      <protection locked="0"/>
    </xf>
    <xf numFmtId="0" fontId="51" fillId="0" borderId="17" xfId="4" applyFont="1" applyBorder="1" applyAlignment="1" applyProtection="1">
      <alignment horizontal="center" vertical="top" wrapText="1"/>
      <protection locked="0"/>
    </xf>
    <xf numFmtId="0" fontId="51" fillId="0" borderId="42" xfId="4" applyFont="1" applyBorder="1" applyAlignment="1" applyProtection="1">
      <alignment horizontal="center" vertical="top" wrapText="1"/>
      <protection locked="0"/>
    </xf>
    <xf numFmtId="167" fontId="51" fillId="3" borderId="6" xfId="8" applyNumberFormat="1" applyFont="1" applyFill="1" applyBorder="1" applyAlignment="1" applyProtection="1">
      <alignment shrinkToFit="1"/>
      <protection locked="0"/>
    </xf>
    <xf numFmtId="0" fontId="44" fillId="0" borderId="13" xfId="4" applyFont="1" applyBorder="1" applyAlignment="1" applyProtection="1">
      <alignment horizontal="left" vertical="center"/>
      <protection hidden="1"/>
    </xf>
    <xf numFmtId="0" fontId="22" fillId="3" borderId="40" xfId="4" applyFont="1" applyFill="1" applyBorder="1" applyAlignment="1" applyProtection="1">
      <alignment horizontal="left" shrinkToFit="1"/>
      <protection locked="0"/>
    </xf>
    <xf numFmtId="0" fontId="22" fillId="3" borderId="6" xfId="4" applyFont="1" applyFill="1" applyBorder="1" applyAlignment="1" applyProtection="1">
      <alignment horizontal="left" shrinkToFit="1"/>
      <protection locked="0"/>
    </xf>
    <xf numFmtId="5" fontId="50" fillId="0" borderId="0" xfId="4" applyNumberFormat="1" applyFont="1" applyAlignment="1" applyProtection="1">
      <alignment horizontal="right"/>
      <protection hidden="1"/>
    </xf>
    <xf numFmtId="0" fontId="96" fillId="0" borderId="13" xfId="4" applyFont="1" applyBorder="1" applyAlignment="1" applyProtection="1">
      <alignment horizontal="right" vertical="center"/>
      <protection hidden="1"/>
    </xf>
    <xf numFmtId="10" fontId="26" fillId="0" borderId="17" xfId="0" applyNumberFormat="1" applyFont="1" applyBorder="1" applyProtection="1">
      <protection locked="0"/>
    </xf>
    <xf numFmtId="164" fontId="26" fillId="0" borderId="17" xfId="0" applyNumberFormat="1" applyFont="1" applyBorder="1" applyProtection="1">
      <protection locked="0"/>
    </xf>
    <xf numFmtId="10" fontId="26" fillId="0" borderId="6" xfId="0" applyNumberFormat="1" applyFont="1" applyBorder="1" applyProtection="1">
      <protection locked="0"/>
    </xf>
    <xf numFmtId="164" fontId="26" fillId="0" borderId="6" xfId="0" applyNumberFormat="1" applyFont="1" applyBorder="1" applyProtection="1">
      <protection locked="0"/>
    </xf>
    <xf numFmtId="0" fontId="76" fillId="0" borderId="12" xfId="4" applyFont="1" applyBorder="1" applyProtection="1">
      <protection hidden="1"/>
    </xf>
    <xf numFmtId="49" fontId="28" fillId="3" borderId="0" xfId="3" applyNumberFormat="1" applyFill="1" applyBorder="1" applyAlignment="1" applyProtection="1">
      <alignment horizontal="left" wrapText="1"/>
      <protection locked="0"/>
    </xf>
    <xf numFmtId="49" fontId="23" fillId="3" borderId="0" xfId="4" applyNumberFormat="1" applyFont="1" applyFill="1" applyAlignment="1" applyProtection="1">
      <alignment horizontal="left" wrapText="1"/>
      <protection locked="0"/>
    </xf>
    <xf numFmtId="0" fontId="3" fillId="0" borderId="0" xfId="4" applyFont="1" applyProtection="1">
      <protection hidden="1"/>
    </xf>
    <xf numFmtId="0" fontId="99" fillId="0" borderId="0" xfId="12" applyFont="1"/>
    <xf numFmtId="0" fontId="2" fillId="0" borderId="0" xfId="12"/>
    <xf numFmtId="0" fontId="100" fillId="0" borderId="0" xfId="12" applyFont="1"/>
    <xf numFmtId="0" fontId="101" fillId="0" borderId="0" xfId="12" applyFont="1"/>
    <xf numFmtId="0" fontId="98" fillId="0" borderId="0" xfId="12" applyFont="1" applyAlignment="1">
      <alignment horizontal="right"/>
    </xf>
    <xf numFmtId="0" fontId="2" fillId="9" borderId="0" xfId="12" applyFill="1"/>
    <xf numFmtId="0" fontId="2" fillId="0" borderId="56" xfId="12" applyBorder="1" applyAlignment="1">
      <alignment horizontal="right"/>
    </xf>
    <xf numFmtId="0" fontId="2" fillId="0" borderId="0" xfId="12" applyAlignment="1">
      <alignment horizontal="right"/>
    </xf>
    <xf numFmtId="9" fontId="2" fillId="10" borderId="0" xfId="12" applyNumberFormat="1" applyFill="1"/>
    <xf numFmtId="9" fontId="2" fillId="0" borderId="0" xfId="12" applyNumberFormat="1"/>
    <xf numFmtId="0" fontId="102" fillId="0" borderId="0" xfId="12" applyFont="1"/>
    <xf numFmtId="0" fontId="2" fillId="9" borderId="0" xfId="12" applyFill="1" applyAlignment="1">
      <alignment horizontal="left"/>
    </xf>
    <xf numFmtId="0" fontId="98" fillId="0" borderId="56" xfId="12" applyFont="1" applyBorder="1"/>
    <xf numFmtId="0" fontId="98" fillId="0" borderId="56" xfId="12" applyFont="1" applyBorder="1" applyAlignment="1">
      <alignment horizontal="right"/>
    </xf>
    <xf numFmtId="0" fontId="98" fillId="9" borderId="0" xfId="12" applyFont="1" applyFill="1"/>
    <xf numFmtId="164" fontId="0" fillId="0" borderId="0" xfId="13" applyNumberFormat="1" applyFont="1" applyFill="1"/>
    <xf numFmtId="175" fontId="0" fillId="0" borderId="0" xfId="14" applyNumberFormat="1" applyFont="1" applyFill="1"/>
    <xf numFmtId="0" fontId="98" fillId="0" borderId="0" xfId="12" applyFont="1"/>
    <xf numFmtId="175" fontId="98" fillId="0" borderId="4" xfId="12" applyNumberFormat="1" applyFont="1" applyBorder="1"/>
    <xf numFmtId="175" fontId="98" fillId="0" borderId="0" xfId="12" applyNumberFormat="1" applyFont="1"/>
    <xf numFmtId="0" fontId="2" fillId="9" borderId="0" xfId="12" applyFill="1" applyAlignment="1">
      <alignment horizontal="right"/>
    </xf>
    <xf numFmtId="176" fontId="0" fillId="0" borderId="0" xfId="14" applyNumberFormat="1" applyFont="1" applyFill="1"/>
    <xf numFmtId="177" fontId="2" fillId="0" borderId="0" xfId="12" applyNumberFormat="1"/>
    <xf numFmtId="0" fontId="0" fillId="0" borderId="0" xfId="14" applyNumberFormat="1" applyFont="1" applyFill="1"/>
    <xf numFmtId="44" fontId="98" fillId="0" borderId="0" xfId="14" applyFont="1" applyFill="1" applyAlignment="1">
      <alignment horizontal="right"/>
    </xf>
    <xf numFmtId="164" fontId="97" fillId="0" borderId="0" xfId="13" applyNumberFormat="1" applyFont="1"/>
    <xf numFmtId="0" fontId="103" fillId="0" borderId="0" xfId="12" applyFont="1"/>
    <xf numFmtId="175" fontId="0" fillId="0" borderId="0" xfId="14" applyNumberFormat="1" applyFont="1"/>
    <xf numFmtId="175" fontId="98" fillId="0" borderId="4" xfId="14" applyNumberFormat="1" applyFont="1" applyBorder="1"/>
    <xf numFmtId="164" fontId="0" fillId="0" borderId="0" xfId="13" applyNumberFormat="1" applyFont="1"/>
    <xf numFmtId="175" fontId="2" fillId="0" borderId="0" xfId="12" applyNumberFormat="1"/>
    <xf numFmtId="175" fontId="2" fillId="0" borderId="4" xfId="12" applyNumberFormat="1" applyBorder="1"/>
    <xf numFmtId="0" fontId="1" fillId="9" borderId="0" xfId="12" applyFont="1" applyFill="1"/>
    <xf numFmtId="0" fontId="86" fillId="11" borderId="0" xfId="2" applyFont="1" applyFill="1" applyAlignment="1">
      <alignment vertical="top"/>
    </xf>
    <xf numFmtId="0" fontId="28" fillId="11" borderId="0" xfId="3" applyFill="1" applyAlignment="1" applyProtection="1">
      <alignment vertical="top"/>
    </xf>
    <xf numFmtId="0" fontId="28" fillId="0" borderId="0" xfId="3" applyAlignment="1" applyProtection="1">
      <alignment vertical="top"/>
    </xf>
    <xf numFmtId="0" fontId="83" fillId="0" borderId="0" xfId="2" quotePrefix="1" applyFont="1" applyAlignment="1">
      <alignment vertical="top"/>
    </xf>
    <xf numFmtId="0" fontId="3" fillId="0" borderId="1" xfId="4" applyFont="1" applyBorder="1" applyAlignment="1" applyProtection="1">
      <alignment vertical="top"/>
      <protection hidden="1"/>
    </xf>
    <xf numFmtId="0" fontId="28" fillId="0" borderId="0" xfId="3" applyFill="1" applyAlignment="1" applyProtection="1">
      <alignment vertical="top"/>
    </xf>
    <xf numFmtId="0" fontId="89" fillId="0" borderId="0" xfId="2" applyFont="1" applyAlignment="1">
      <alignment horizontal="center" vertical="top"/>
    </xf>
    <xf numFmtId="0" fontId="26" fillId="0" borderId="0" xfId="2" applyAlignment="1">
      <alignment horizontal="left" vertical="top" wrapText="1"/>
    </xf>
    <xf numFmtId="0" fontId="83" fillId="0" borderId="0" xfId="2" applyFont="1" applyAlignment="1">
      <alignment horizontal="left" vertical="top" wrapText="1"/>
    </xf>
    <xf numFmtId="0" fontId="28" fillId="0" borderId="0" xfId="3" applyFill="1" applyAlignment="1" applyProtection="1">
      <alignment horizontal="center" vertical="top"/>
    </xf>
    <xf numFmtId="0" fontId="83" fillId="0" borderId="0" xfId="2" applyFont="1" applyAlignment="1">
      <alignment vertical="top" wrapText="1"/>
    </xf>
    <xf numFmtId="0" fontId="26" fillId="11" borderId="0" xfId="2" applyFill="1" applyAlignment="1">
      <alignment vertical="top" wrapText="1"/>
    </xf>
    <xf numFmtId="0" fontId="28" fillId="0" borderId="0" xfId="3" applyFill="1" applyAlignment="1" applyProtection="1">
      <alignment vertical="top"/>
    </xf>
    <xf numFmtId="0" fontId="26" fillId="0" borderId="0" xfId="2" applyAlignment="1">
      <alignment vertical="top" wrapText="1"/>
    </xf>
    <xf numFmtId="0" fontId="28" fillId="0" borderId="0" xfId="3" applyFill="1" applyBorder="1" applyAlignment="1" applyProtection="1">
      <alignment horizontal="left" vertical="top" wrapText="1"/>
    </xf>
    <xf numFmtId="165" fontId="23" fillId="3" borderId="30" xfId="4" applyNumberFormat="1" applyFont="1" applyFill="1" applyBorder="1" applyAlignment="1" applyProtection="1">
      <alignment horizontal="center"/>
      <protection locked="0"/>
    </xf>
    <xf numFmtId="165" fontId="23" fillId="3" borderId="31" xfId="4" applyNumberFormat="1" applyFont="1" applyFill="1" applyBorder="1" applyAlignment="1" applyProtection="1">
      <alignment horizontal="center"/>
      <protection locked="0"/>
    </xf>
    <xf numFmtId="165" fontId="4" fillId="3" borderId="30" xfId="4" applyNumberFormat="1" applyFont="1" applyFill="1" applyBorder="1" applyAlignment="1" applyProtection="1">
      <alignment horizontal="center"/>
      <protection locked="0"/>
    </xf>
    <xf numFmtId="165" fontId="23" fillId="3" borderId="32" xfId="4" applyNumberFormat="1" applyFont="1" applyFill="1" applyBorder="1" applyAlignment="1" applyProtection="1">
      <alignment horizontal="center"/>
      <protection locked="0"/>
    </xf>
    <xf numFmtId="0" fontId="44" fillId="0" borderId="1" xfId="4" applyFont="1" applyBorder="1" applyAlignment="1" applyProtection="1">
      <alignment horizontal="left" vertical="top"/>
      <protection hidden="1"/>
    </xf>
    <xf numFmtId="0" fontId="4" fillId="0" borderId="0" xfId="4" applyFont="1" applyAlignment="1" applyProtection="1">
      <alignment horizontal="left" wrapText="1"/>
      <protection hidden="1"/>
    </xf>
    <xf numFmtId="0" fontId="23" fillId="0" borderId="0" xfId="4" applyFont="1" applyAlignment="1" applyProtection="1">
      <alignment horizontal="left" wrapText="1"/>
      <protection hidden="1"/>
    </xf>
    <xf numFmtId="49" fontId="28" fillId="3" borderId="8" xfId="3" applyNumberFormat="1" applyFill="1" applyBorder="1" applyAlignment="1" applyProtection="1">
      <alignment horizontal="left" wrapText="1"/>
      <protection locked="0"/>
    </xf>
    <xf numFmtId="49" fontId="28" fillId="3" borderId="9" xfId="3" applyNumberFormat="1" applyFill="1" applyBorder="1" applyAlignment="1" applyProtection="1">
      <alignment horizontal="left" wrapText="1"/>
      <protection locked="0"/>
    </xf>
    <xf numFmtId="49" fontId="23" fillId="3" borderId="7" xfId="4" applyNumberFormat="1" applyFont="1" applyFill="1" applyBorder="1" applyAlignment="1" applyProtection="1">
      <alignment horizontal="left" wrapText="1"/>
      <protection locked="0"/>
    </xf>
    <xf numFmtId="0" fontId="22" fillId="3" borderId="8" xfId="4" applyFont="1" applyFill="1" applyBorder="1" applyAlignment="1" applyProtection="1">
      <alignment horizontal="left" shrinkToFit="1"/>
      <protection locked="0"/>
    </xf>
    <xf numFmtId="0" fontId="22" fillId="3" borderId="9" xfId="4" applyFont="1" applyFill="1" applyBorder="1" applyAlignment="1" applyProtection="1">
      <alignment horizontal="left" shrinkToFit="1"/>
      <protection locked="0"/>
    </xf>
    <xf numFmtId="0" fontId="22" fillId="3" borderId="7" xfId="4" applyFont="1" applyFill="1" applyBorder="1" applyAlignment="1" applyProtection="1">
      <alignment horizontal="left" shrinkToFit="1"/>
      <protection locked="0"/>
    </xf>
    <xf numFmtId="0" fontId="23" fillId="3" borderId="8" xfId="4" applyFont="1" applyFill="1" applyBorder="1" applyAlignment="1" applyProtection="1">
      <alignment shrinkToFit="1"/>
      <protection locked="0"/>
    </xf>
    <xf numFmtId="0" fontId="23" fillId="3" borderId="9" xfId="4" applyFont="1" applyFill="1" applyBorder="1" applyAlignment="1" applyProtection="1">
      <alignment shrinkToFit="1"/>
      <protection locked="0"/>
    </xf>
    <xf numFmtId="0" fontId="23" fillId="3" borderId="7" xfId="4" applyFont="1" applyFill="1" applyBorder="1" applyAlignment="1" applyProtection="1">
      <alignment shrinkToFit="1"/>
      <protection locked="0"/>
    </xf>
    <xf numFmtId="0" fontId="23" fillId="3" borderId="45" xfId="4" applyFont="1" applyFill="1" applyBorder="1" applyAlignment="1" applyProtection="1">
      <alignment horizontal="left" shrinkToFit="1"/>
      <protection locked="0"/>
    </xf>
    <xf numFmtId="0" fontId="23" fillId="3" borderId="17" xfId="4" applyFont="1" applyFill="1" applyBorder="1" applyAlignment="1" applyProtection="1">
      <alignment horizontal="left" shrinkToFit="1"/>
      <protection locked="0"/>
    </xf>
    <xf numFmtId="0" fontId="37" fillId="0" borderId="0" xfId="4" applyFont="1" applyAlignment="1" applyProtection="1">
      <alignment vertical="top" wrapText="1"/>
      <protection hidden="1"/>
    </xf>
    <xf numFmtId="0" fontId="23" fillId="3" borderId="8" xfId="4" applyFont="1" applyFill="1" applyBorder="1" applyAlignment="1" applyProtection="1">
      <alignment horizontal="left" vertical="top" wrapText="1"/>
      <protection locked="0"/>
    </xf>
    <xf numFmtId="0" fontId="23" fillId="3" borderId="9" xfId="4" applyFont="1" applyFill="1" applyBorder="1" applyAlignment="1" applyProtection="1">
      <alignment horizontal="left" vertical="top" wrapText="1"/>
      <protection locked="0"/>
    </xf>
    <xf numFmtId="0" fontId="23" fillId="3" borderId="7" xfId="4" applyFont="1" applyFill="1" applyBorder="1" applyAlignment="1" applyProtection="1">
      <alignment horizontal="left" vertical="top" wrapText="1"/>
      <protection locked="0"/>
    </xf>
    <xf numFmtId="0" fontId="49" fillId="0" borderId="0" xfId="4" applyFont="1" applyProtection="1">
      <protection hidden="1"/>
    </xf>
    <xf numFmtId="0" fontId="56" fillId="0" borderId="0" xfId="4" applyFont="1" applyAlignment="1" applyProtection="1">
      <alignment horizontal="center" vertical="top" wrapText="1"/>
      <protection hidden="1"/>
    </xf>
    <xf numFmtId="0" fontId="23" fillId="3" borderId="8" xfId="4" applyFont="1" applyFill="1" applyBorder="1" applyAlignment="1" applyProtection="1">
      <alignment horizontal="left" wrapText="1"/>
      <protection locked="0"/>
    </xf>
    <xf numFmtId="0" fontId="23" fillId="3" borderId="9" xfId="4" applyFont="1" applyFill="1" applyBorder="1" applyAlignment="1" applyProtection="1">
      <alignment horizontal="left" wrapText="1"/>
      <protection locked="0"/>
    </xf>
    <xf numFmtId="0" fontId="23" fillId="3" borderId="7" xfId="4" applyFont="1" applyFill="1" applyBorder="1" applyAlignment="1" applyProtection="1">
      <alignment horizontal="left" wrapText="1"/>
      <protection locked="0"/>
    </xf>
    <xf numFmtId="49" fontId="23" fillId="3" borderId="8" xfId="4" applyNumberFormat="1" applyFont="1" applyFill="1" applyBorder="1" applyAlignment="1" applyProtection="1">
      <alignment horizontal="left" wrapText="1"/>
      <protection locked="0"/>
    </xf>
    <xf numFmtId="49" fontId="23" fillId="3" borderId="9" xfId="4" applyNumberFormat="1" applyFont="1" applyFill="1" applyBorder="1" applyAlignment="1" applyProtection="1">
      <alignment horizontal="left" wrapText="1"/>
      <protection locked="0"/>
    </xf>
    <xf numFmtId="0" fontId="49" fillId="0" borderId="0" xfId="4" applyFont="1" applyAlignment="1" applyProtection="1">
      <alignment horizontal="center" wrapText="1"/>
      <protection hidden="1"/>
    </xf>
    <xf numFmtId="0" fontId="30" fillId="0" borderId="0" xfId="4" applyFont="1" applyAlignment="1" applyProtection="1">
      <alignment horizontal="left" vertical="top" wrapText="1"/>
      <protection hidden="1"/>
    </xf>
    <xf numFmtId="0" fontId="49" fillId="0" borderId="0" xfId="4" applyFont="1" applyAlignment="1" applyProtection="1">
      <alignment horizontal="center"/>
      <protection hidden="1"/>
    </xf>
    <xf numFmtId="0" fontId="49" fillId="0" borderId="0" xfId="4" applyFont="1" applyAlignment="1" applyProtection="1">
      <alignment horizontal="left"/>
      <protection hidden="1"/>
    </xf>
    <xf numFmtId="0" fontId="48" fillId="0" borderId="0" xfId="4" applyFont="1" applyAlignment="1" applyProtection="1">
      <alignment horizontal="left" vertical="top" wrapText="1"/>
      <protection hidden="1"/>
    </xf>
    <xf numFmtId="0" fontId="85" fillId="8" borderId="35" xfId="4" applyFont="1" applyFill="1" applyBorder="1" applyAlignment="1" applyProtection="1">
      <alignment horizontal="center" vertical="center" wrapText="1"/>
      <protection hidden="1"/>
    </xf>
    <xf numFmtId="0" fontId="85" fillId="8" borderId="36" xfId="4" applyFont="1" applyFill="1" applyBorder="1" applyAlignment="1" applyProtection="1">
      <alignment horizontal="center" vertical="center"/>
      <protection hidden="1"/>
    </xf>
    <xf numFmtId="0" fontId="85" fillId="8" borderId="37" xfId="4" applyFont="1" applyFill="1" applyBorder="1" applyAlignment="1" applyProtection="1">
      <alignment horizontal="center" vertical="center"/>
      <protection hidden="1"/>
    </xf>
    <xf numFmtId="0" fontId="25" fillId="0" borderId="0" xfId="4" applyFont="1" applyAlignment="1" applyProtection="1">
      <alignment wrapText="1"/>
      <protection locked="0"/>
    </xf>
    <xf numFmtId="0" fontId="28" fillId="0" borderId="0" xfId="3" applyAlignment="1" applyProtection="1">
      <alignment vertical="top"/>
      <protection hidden="1"/>
    </xf>
    <xf numFmtId="43" fontId="38" fillId="0" borderId="0" xfId="8" applyFont="1" applyFill="1" applyBorder="1" applyAlignment="1" applyProtection="1">
      <alignment horizontal="center"/>
      <protection hidden="1"/>
    </xf>
    <xf numFmtId="37" fontId="30" fillId="0" borderId="0" xfId="4" applyNumberFormat="1" applyFont="1" applyAlignment="1" applyProtection="1">
      <alignment shrinkToFit="1"/>
      <protection hidden="1"/>
    </xf>
    <xf numFmtId="171" fontId="30" fillId="0" borderId="0" xfId="4" applyNumberFormat="1" applyFont="1" applyAlignment="1" applyProtection="1">
      <alignment horizontal="center" wrapText="1"/>
      <protection hidden="1"/>
    </xf>
    <xf numFmtId="0" fontId="21" fillId="0" borderId="0" xfId="4" applyFont="1" applyAlignment="1" applyProtection="1">
      <alignment horizontal="left"/>
      <protection hidden="1"/>
    </xf>
    <xf numFmtId="172" fontId="26" fillId="0" borderId="0" xfId="4" applyNumberFormat="1" applyFont="1" applyAlignment="1" applyProtection="1">
      <alignment horizontal="center"/>
      <protection locked="0"/>
    </xf>
    <xf numFmtId="0" fontId="25" fillId="0" borderId="29" xfId="4" applyFont="1" applyBorder="1" applyAlignment="1" applyProtection="1">
      <alignment horizontal="left"/>
      <protection locked="0"/>
    </xf>
    <xf numFmtId="0" fontId="25" fillId="0" borderId="10" xfId="4" applyFont="1" applyBorder="1" applyAlignment="1" applyProtection="1">
      <alignment horizontal="left"/>
      <protection locked="0"/>
    </xf>
    <xf numFmtId="0" fontId="25" fillId="0" borderId="41" xfId="4" applyFont="1" applyBorder="1" applyAlignment="1" applyProtection="1">
      <alignment horizontal="left"/>
      <protection locked="0"/>
    </xf>
    <xf numFmtId="5" fontId="36" fillId="2" borderId="4" xfId="8" applyNumberFormat="1" applyFont="1" applyFill="1" applyBorder="1" applyAlignment="1" applyProtection="1">
      <alignment horizontal="right"/>
      <protection hidden="1"/>
    </xf>
    <xf numFmtId="0" fontId="25" fillId="0" borderId="11" xfId="4" applyFont="1" applyBorder="1" applyAlignment="1" applyProtection="1">
      <alignment horizontal="left"/>
      <protection hidden="1"/>
    </xf>
    <xf numFmtId="5" fontId="25" fillId="0" borderId="10" xfId="8" applyNumberFormat="1" applyFont="1" applyBorder="1" applyAlignment="1" applyProtection="1">
      <alignment horizontal="right" vertical="top"/>
      <protection hidden="1"/>
    </xf>
    <xf numFmtId="171" fontId="37" fillId="0" borderId="0" xfId="4" applyNumberFormat="1" applyFont="1" applyAlignment="1" applyProtection="1">
      <alignment horizontal="center"/>
      <protection hidden="1"/>
    </xf>
    <xf numFmtId="0" fontId="58" fillId="0" borderId="1" xfId="4" applyFont="1" applyBorder="1" applyAlignment="1" applyProtection="1">
      <alignment horizontal="left" vertical="top" wrapText="1"/>
      <protection hidden="1"/>
    </xf>
    <xf numFmtId="0" fontId="58" fillId="0" borderId="0" xfId="4" applyFont="1" applyAlignment="1" applyProtection="1">
      <alignment horizontal="left" vertical="top" wrapText="1"/>
      <protection hidden="1"/>
    </xf>
    <xf numFmtId="5" fontId="25" fillId="3" borderId="30" xfId="8" applyNumberFormat="1" applyFont="1" applyFill="1" applyBorder="1" applyAlignment="1" applyProtection="1">
      <alignment horizontal="right" vertical="top"/>
      <protection locked="0"/>
    </xf>
    <xf numFmtId="5" fontId="25" fillId="3" borderId="31" xfId="8" applyNumberFormat="1" applyFont="1" applyFill="1" applyBorder="1" applyAlignment="1" applyProtection="1">
      <alignment horizontal="right" vertical="top"/>
      <protection locked="0"/>
    </xf>
    <xf numFmtId="37" fontId="38" fillId="0" borderId="0" xfId="4" applyNumberFormat="1" applyFont="1" applyAlignment="1" applyProtection="1">
      <alignment horizontal="center"/>
      <protection hidden="1"/>
    </xf>
    <xf numFmtId="5" fontId="39" fillId="2" borderId="4" xfId="9" applyNumberFormat="1" applyFont="1" applyFill="1" applyBorder="1" applyAlignment="1" applyProtection="1">
      <alignment horizontal="right" vertical="top"/>
      <protection hidden="1"/>
    </xf>
    <xf numFmtId="5" fontId="25" fillId="3" borderId="30" xfId="8" applyNumberFormat="1" applyFont="1" applyFill="1" applyBorder="1" applyAlignment="1" applyProtection="1">
      <alignment horizontal="right"/>
      <protection locked="0"/>
    </xf>
    <xf numFmtId="5" fontId="25" fillId="3" borderId="31" xfId="8" applyNumberFormat="1" applyFont="1" applyFill="1" applyBorder="1" applyAlignment="1" applyProtection="1">
      <alignment horizontal="right"/>
      <protection locked="0"/>
    </xf>
    <xf numFmtId="5" fontId="25" fillId="3" borderId="8" xfId="8" applyNumberFormat="1" applyFont="1" applyFill="1" applyBorder="1" applyAlignment="1" applyProtection="1">
      <alignment horizontal="right"/>
      <protection locked="0"/>
    </xf>
    <xf numFmtId="5" fontId="25" fillId="3" borderId="7" xfId="8" applyNumberFormat="1" applyFont="1" applyFill="1" applyBorder="1" applyAlignment="1" applyProtection="1">
      <alignment horizontal="right"/>
      <protection locked="0"/>
    </xf>
    <xf numFmtId="0" fontId="39" fillId="0" borderId="0" xfId="4" applyFont="1" applyAlignment="1" applyProtection="1">
      <alignment horizontal="center"/>
      <protection hidden="1"/>
    </xf>
    <xf numFmtId="0" fontId="30" fillId="0" borderId="0" xfId="4" applyFont="1" applyAlignment="1" applyProtection="1">
      <alignment horizontal="left" indent="1"/>
      <protection hidden="1"/>
    </xf>
    <xf numFmtId="0" fontId="10" fillId="0" borderId="0" xfId="4" applyFont="1" applyAlignment="1" applyProtection="1">
      <alignment horizontal="left" indent="1"/>
      <protection hidden="1"/>
    </xf>
    <xf numFmtId="0" fontId="18" fillId="0" borderId="0" xfId="4" applyFont="1" applyAlignment="1" applyProtection="1">
      <alignment horizontal="left" indent="1"/>
      <protection hidden="1"/>
    </xf>
    <xf numFmtId="0" fontId="37" fillId="0" borderId="0" xfId="4" applyFont="1" applyAlignment="1" applyProtection="1">
      <alignment horizontal="center" wrapText="1"/>
      <protection hidden="1"/>
    </xf>
    <xf numFmtId="0" fontId="38" fillId="0" borderId="0" xfId="4" applyFont="1" applyAlignment="1" applyProtection="1">
      <alignment horizontal="center" wrapText="1"/>
      <protection hidden="1"/>
    </xf>
    <xf numFmtId="5" fontId="25" fillId="0" borderId="0" xfId="8" applyNumberFormat="1" applyFont="1" applyFill="1" applyBorder="1" applyProtection="1">
      <protection locked="0"/>
    </xf>
    <xf numFmtId="0" fontId="30" fillId="4" borderId="0" xfId="4" applyFont="1" applyFill="1" applyAlignment="1" applyProtection="1">
      <alignment horizontal="left"/>
      <protection hidden="1"/>
    </xf>
    <xf numFmtId="0" fontId="67" fillId="0" borderId="13" xfId="4" applyFont="1" applyBorder="1" applyAlignment="1" applyProtection="1">
      <alignment horizontal="center" vertical="center"/>
      <protection hidden="1"/>
    </xf>
    <xf numFmtId="0" fontId="17" fillId="0" borderId="0" xfId="4" applyFont="1" applyAlignment="1" applyProtection="1">
      <alignment horizontal="center" wrapText="1"/>
      <protection hidden="1"/>
    </xf>
    <xf numFmtId="37" fontId="25" fillId="3" borderId="8" xfId="8" applyNumberFormat="1" applyFont="1" applyFill="1" applyBorder="1" applyAlignment="1" applyProtection="1">
      <alignment horizontal="center"/>
      <protection locked="0"/>
    </xf>
    <xf numFmtId="37" fontId="25" fillId="3" borderId="7" xfId="8" applyNumberFormat="1" applyFont="1" applyFill="1" applyBorder="1" applyAlignment="1" applyProtection="1">
      <alignment horizontal="center"/>
      <protection locked="0"/>
    </xf>
    <xf numFmtId="0" fontId="6" fillId="0" borderId="1" xfId="4" applyFont="1" applyBorder="1" applyAlignment="1" applyProtection="1">
      <alignment horizontal="left" vertical="top"/>
      <protection hidden="1"/>
    </xf>
    <xf numFmtId="0" fontId="25" fillId="0" borderId="1" xfId="4" applyFont="1" applyBorder="1" applyAlignment="1" applyProtection="1">
      <alignment horizontal="left" vertical="top"/>
      <protection hidden="1"/>
    </xf>
    <xf numFmtId="164" fontId="59" fillId="0" borderId="0" xfId="7" applyNumberFormat="1" applyFont="1" applyFill="1" applyBorder="1" applyAlignment="1" applyProtection="1">
      <alignment horizontal="center"/>
      <protection hidden="1"/>
    </xf>
    <xf numFmtId="0" fontId="30" fillId="0" borderId="0" xfId="4" applyFont="1" applyAlignment="1" applyProtection="1">
      <alignment horizontal="left"/>
      <protection hidden="1"/>
    </xf>
    <xf numFmtId="0" fontId="25" fillId="0" borderId="0" xfId="4" applyFont="1" applyAlignment="1" applyProtection="1">
      <alignment horizontal="left"/>
      <protection hidden="1"/>
    </xf>
    <xf numFmtId="5" fontId="39" fillId="0" borderId="4" xfId="4" applyNumberFormat="1" applyFont="1" applyBorder="1" applyProtection="1">
      <protection hidden="1"/>
    </xf>
    <xf numFmtId="7" fontId="30" fillId="0" borderId="0" xfId="4" applyNumberFormat="1" applyFont="1" applyProtection="1">
      <protection hidden="1"/>
    </xf>
    <xf numFmtId="0" fontId="39" fillId="0" borderId="0" xfId="4" applyFont="1" applyProtection="1">
      <protection hidden="1"/>
    </xf>
    <xf numFmtId="37" fontId="17" fillId="0" borderId="0" xfId="4" applyNumberFormat="1" applyFont="1" applyAlignment="1" applyProtection="1">
      <alignment horizontal="center"/>
      <protection hidden="1"/>
    </xf>
    <xf numFmtId="171" fontId="30" fillId="0" borderId="0" xfId="4" applyNumberFormat="1" applyFont="1" applyAlignment="1" applyProtection="1">
      <alignment horizontal="center"/>
      <protection hidden="1"/>
    </xf>
    <xf numFmtId="43" fontId="39" fillId="0" borderId="0" xfId="8" applyFont="1" applyFill="1" applyBorder="1" applyAlignment="1" applyProtection="1">
      <alignment horizontal="center"/>
      <protection hidden="1"/>
    </xf>
    <xf numFmtId="171" fontId="30" fillId="3" borderId="8" xfId="4" applyNumberFormat="1" applyFont="1" applyFill="1" applyBorder="1" applyAlignment="1" applyProtection="1">
      <alignment horizontal="center"/>
      <protection locked="0"/>
    </xf>
    <xf numFmtId="171" fontId="30" fillId="3" borderId="7" xfId="4" applyNumberFormat="1" applyFont="1" applyFill="1" applyBorder="1" applyAlignment="1" applyProtection="1">
      <alignment horizontal="center"/>
      <protection locked="0"/>
    </xf>
    <xf numFmtId="0" fontId="38" fillId="0" borderId="0" xfId="4" applyFont="1" applyAlignment="1" applyProtection="1">
      <alignment horizontal="center"/>
      <protection hidden="1"/>
    </xf>
    <xf numFmtId="0" fontId="25" fillId="0" borderId="8" xfId="4" applyFont="1" applyBorder="1" applyAlignment="1" applyProtection="1">
      <alignment horizontal="left"/>
      <protection locked="0"/>
    </xf>
    <xf numFmtId="0" fontId="25" fillId="0" borderId="9" xfId="4" applyFont="1" applyBorder="1" applyAlignment="1" applyProtection="1">
      <alignment horizontal="left"/>
      <protection locked="0"/>
    </xf>
    <xf numFmtId="0" fontId="25" fillId="0" borderId="7" xfId="4" applyFont="1" applyBorder="1" applyAlignment="1" applyProtection="1">
      <alignment horizontal="left"/>
      <protection locked="0"/>
    </xf>
    <xf numFmtId="0" fontId="76" fillId="0" borderId="0" xfId="4" applyFont="1" applyAlignment="1" applyProtection="1">
      <alignment horizontal="center"/>
      <protection locked="0"/>
    </xf>
    <xf numFmtId="5" fontId="30" fillId="0" borderId="0" xfId="4" applyNumberFormat="1" applyFont="1" applyProtection="1">
      <protection hidden="1"/>
    </xf>
    <xf numFmtId="5" fontId="30" fillId="0" borderId="0" xfId="4" applyNumberFormat="1" applyFont="1" applyAlignment="1" applyProtection="1">
      <alignment horizontal="right"/>
      <protection hidden="1"/>
    </xf>
    <xf numFmtId="5" fontId="30" fillId="0" borderId="1" xfId="4" applyNumberFormat="1" applyFont="1" applyBorder="1" applyProtection="1">
      <protection hidden="1"/>
    </xf>
    <xf numFmtId="0" fontId="39" fillId="0" borderId="0" xfId="4" applyFont="1" applyAlignment="1" applyProtection="1">
      <alignment horizontal="center" wrapText="1"/>
      <protection hidden="1"/>
    </xf>
    <xf numFmtId="0" fontId="17" fillId="0" borderId="0" xfId="4" applyFont="1" applyAlignment="1" applyProtection="1">
      <alignment horizontal="center"/>
      <protection hidden="1"/>
    </xf>
    <xf numFmtId="5" fontId="17" fillId="0" borderId="0" xfId="4" applyNumberFormat="1" applyFont="1" applyAlignment="1" applyProtection="1">
      <alignment horizontal="center"/>
      <protection hidden="1"/>
    </xf>
    <xf numFmtId="5" fontId="36" fillId="2" borderId="34" xfId="8" applyNumberFormat="1" applyFont="1" applyFill="1" applyBorder="1" applyAlignment="1" applyProtection="1">
      <alignment horizontal="right"/>
      <protection hidden="1"/>
    </xf>
    <xf numFmtId="5" fontId="36" fillId="2" borderId="5" xfId="8" applyNumberFormat="1" applyFont="1" applyFill="1" applyBorder="1" applyAlignment="1" applyProtection="1">
      <alignment horizontal="right"/>
      <protection hidden="1"/>
    </xf>
    <xf numFmtId="5" fontId="36" fillId="2" borderId="4" xfId="9" applyNumberFormat="1" applyFont="1" applyFill="1" applyBorder="1" applyAlignment="1" applyProtection="1">
      <alignment horizontal="right"/>
      <protection hidden="1"/>
    </xf>
    <xf numFmtId="0" fontId="30" fillId="0" borderId="13" xfId="4" applyFont="1" applyBorder="1" applyAlignment="1" applyProtection="1">
      <alignment horizontal="center" vertical="center"/>
      <protection hidden="1"/>
    </xf>
    <xf numFmtId="0" fontId="59" fillId="0" borderId="29" xfId="4" applyFont="1" applyBorder="1" applyAlignment="1" applyProtection="1">
      <alignment horizontal="left"/>
      <protection locked="0"/>
    </xf>
    <xf numFmtId="0" fontId="59" fillId="0" borderId="10" xfId="4" applyFont="1" applyBorder="1" applyAlignment="1" applyProtection="1">
      <alignment horizontal="left"/>
      <protection locked="0"/>
    </xf>
    <xf numFmtId="0" fontId="59" fillId="0" borderId="41" xfId="4" applyFont="1" applyBorder="1" applyAlignment="1" applyProtection="1">
      <alignment horizontal="left"/>
      <protection locked="0"/>
    </xf>
    <xf numFmtId="0" fontId="16" fillId="0" borderId="1" xfId="4" applyFont="1" applyBorder="1" applyAlignment="1" applyProtection="1">
      <alignment horizontal="center"/>
      <protection hidden="1"/>
    </xf>
    <xf numFmtId="5" fontId="25" fillId="0" borderId="4" xfId="8" applyNumberFormat="1" applyFont="1" applyFill="1" applyBorder="1" applyProtection="1">
      <protection hidden="1"/>
    </xf>
    <xf numFmtId="5" fontId="25" fillId="0" borderId="0" xfId="8" applyNumberFormat="1" applyFont="1" applyFill="1" applyBorder="1" applyProtection="1">
      <protection hidden="1"/>
    </xf>
    <xf numFmtId="5" fontId="25" fillId="0" borderId="0" xfId="8" applyNumberFormat="1" applyFont="1" applyBorder="1" applyAlignment="1" applyProtection="1">
      <alignment horizontal="right" vertical="top"/>
      <protection hidden="1"/>
    </xf>
    <xf numFmtId="5" fontId="8" fillId="4" borderId="4" xfId="8" applyNumberFormat="1" applyFont="1" applyFill="1" applyBorder="1" applyProtection="1">
      <protection hidden="1"/>
    </xf>
    <xf numFmtId="5" fontId="25" fillId="0" borderId="1" xfId="8" applyNumberFormat="1" applyFont="1" applyFill="1" applyBorder="1" applyProtection="1">
      <protection hidden="1"/>
    </xf>
    <xf numFmtId="5" fontId="26" fillId="4" borderId="4" xfId="8" applyNumberFormat="1" applyFont="1" applyFill="1" applyBorder="1" applyAlignment="1" applyProtection="1">
      <protection hidden="1"/>
    </xf>
    <xf numFmtId="169" fontId="37" fillId="0" borderId="0" xfId="4" applyNumberFormat="1" applyFont="1" applyAlignment="1" applyProtection="1">
      <alignment horizontal="center"/>
      <protection hidden="1"/>
    </xf>
    <xf numFmtId="5" fontId="40" fillId="4" borderId="0" xfId="4" applyNumberFormat="1" applyFont="1" applyFill="1" applyAlignment="1" applyProtection="1">
      <alignment horizontal="right"/>
      <protection hidden="1"/>
    </xf>
    <xf numFmtId="5" fontId="40" fillId="4" borderId="1" xfId="4" applyNumberFormat="1" applyFont="1" applyFill="1" applyBorder="1" applyAlignment="1" applyProtection="1">
      <alignment horizontal="right"/>
      <protection hidden="1"/>
    </xf>
    <xf numFmtId="43" fontId="73" fillId="5" borderId="0" xfId="4" applyNumberFormat="1" applyFont="1" applyFill="1" applyAlignment="1" applyProtection="1">
      <alignment horizontal="center"/>
      <protection hidden="1"/>
    </xf>
    <xf numFmtId="5" fontId="17" fillId="0" borderId="4" xfId="4" applyNumberFormat="1" applyFont="1" applyBorder="1" applyAlignment="1" applyProtection="1">
      <alignment horizontal="center"/>
      <protection hidden="1"/>
    </xf>
    <xf numFmtId="5" fontId="42" fillId="4" borderId="0" xfId="4" applyNumberFormat="1" applyFont="1" applyFill="1" applyAlignment="1" applyProtection="1">
      <alignment horizontal="center"/>
      <protection hidden="1"/>
    </xf>
    <xf numFmtId="0" fontId="25" fillId="0" borderId="0" xfId="4" applyFont="1" applyProtection="1">
      <protection hidden="1"/>
    </xf>
    <xf numFmtId="5" fontId="26" fillId="4" borderId="0" xfId="4" applyNumberFormat="1" applyFont="1" applyFill="1" applyAlignment="1" applyProtection="1">
      <alignment horizontal="right"/>
      <protection hidden="1"/>
    </xf>
    <xf numFmtId="0" fontId="16" fillId="0" borderId="0" xfId="4" applyFont="1" applyAlignment="1" applyProtection="1">
      <alignment horizontal="left" indent="1"/>
      <protection hidden="1"/>
    </xf>
    <xf numFmtId="0" fontId="19" fillId="0" borderId="0" xfId="4" applyFont="1" applyAlignment="1" applyProtection="1">
      <alignment horizontal="left" indent="1"/>
      <protection hidden="1"/>
    </xf>
    <xf numFmtId="5" fontId="40" fillId="4" borderId="4" xfId="4" applyNumberFormat="1" applyFont="1" applyFill="1" applyBorder="1" applyAlignment="1" applyProtection="1">
      <alignment horizontal="right"/>
      <protection hidden="1"/>
    </xf>
    <xf numFmtId="43" fontId="37" fillId="0" borderId="0" xfId="8" applyFont="1" applyFill="1" applyBorder="1" applyAlignment="1" applyProtection="1">
      <alignment horizontal="center"/>
      <protection hidden="1"/>
    </xf>
    <xf numFmtId="5" fontId="26" fillId="4" borderId="0" xfId="4" applyNumberFormat="1" applyFont="1" applyFill="1" applyAlignment="1" applyProtection="1">
      <alignment horizontal="center"/>
      <protection hidden="1"/>
    </xf>
    <xf numFmtId="166" fontId="38" fillId="6" borderId="0" xfId="4" applyNumberFormat="1" applyFont="1" applyFill="1" applyAlignment="1" applyProtection="1">
      <alignment horizontal="center" wrapText="1"/>
      <protection hidden="1"/>
    </xf>
    <xf numFmtId="5" fontId="26" fillId="4" borderId="0" xfId="4" applyNumberFormat="1" applyFont="1" applyFill="1" applyAlignment="1" applyProtection="1">
      <alignment horizontal="center" shrinkToFit="1"/>
      <protection hidden="1"/>
    </xf>
    <xf numFmtId="5" fontId="25" fillId="4" borderId="0" xfId="8" applyNumberFormat="1" applyFont="1" applyFill="1" applyBorder="1" applyProtection="1">
      <protection hidden="1"/>
    </xf>
    <xf numFmtId="0" fontId="56" fillId="0" borderId="0" xfId="4" applyFont="1" applyAlignment="1" applyProtection="1">
      <alignment horizontal="center" vertical="center"/>
      <protection hidden="1"/>
    </xf>
    <xf numFmtId="0" fontId="55" fillId="0" borderId="0" xfId="4" applyFont="1" applyAlignment="1" applyProtection="1">
      <alignment horizontal="center" vertical="center"/>
      <protection hidden="1"/>
    </xf>
    <xf numFmtId="0" fontId="25" fillId="0" borderId="10" xfId="4" applyFont="1" applyBorder="1" applyAlignment="1" applyProtection="1">
      <alignment horizontal="left"/>
      <protection hidden="1"/>
    </xf>
    <xf numFmtId="166" fontId="36" fillId="6" borderId="0" xfId="4" applyNumberFormat="1" applyFont="1" applyFill="1" applyAlignment="1" applyProtection="1">
      <alignment horizontal="center" wrapText="1"/>
      <protection hidden="1"/>
    </xf>
    <xf numFmtId="5" fontId="25" fillId="3" borderId="8" xfId="8" applyNumberFormat="1" applyFont="1" applyFill="1" applyBorder="1" applyProtection="1">
      <protection locked="0"/>
    </xf>
    <xf numFmtId="5" fontId="25" fillId="3" borderId="7" xfId="8" applyNumberFormat="1" applyFont="1" applyFill="1" applyBorder="1" applyProtection="1">
      <protection locked="0"/>
    </xf>
    <xf numFmtId="5" fontId="8" fillId="4" borderId="4" xfId="8" applyNumberFormat="1" applyFont="1" applyFill="1" applyBorder="1" applyAlignment="1" applyProtection="1">
      <protection hidden="1"/>
    </xf>
    <xf numFmtId="0" fontId="16" fillId="0" borderId="0" xfId="4" applyFont="1" applyAlignment="1" applyProtection="1">
      <alignment horizontal="left" wrapText="1" indent="1"/>
      <protection hidden="1"/>
    </xf>
    <xf numFmtId="0" fontId="21" fillId="0" borderId="0" xfId="4" applyFont="1" applyAlignment="1" applyProtection="1">
      <alignment horizontal="left" wrapText="1" indent="1"/>
      <protection hidden="1"/>
    </xf>
    <xf numFmtId="5" fontId="12" fillId="7" borderId="0" xfId="8" applyNumberFormat="1" applyFont="1" applyFill="1" applyBorder="1" applyProtection="1">
      <protection hidden="1"/>
    </xf>
    <xf numFmtId="5" fontId="25" fillId="7" borderId="0" xfId="8" applyNumberFormat="1" applyFont="1" applyFill="1" applyBorder="1" applyProtection="1">
      <protection hidden="1"/>
    </xf>
    <xf numFmtId="0" fontId="74" fillId="0" borderId="0" xfId="4" applyFont="1" applyAlignment="1" applyProtection="1">
      <alignment horizontal="center" vertical="center" wrapText="1"/>
      <protection hidden="1"/>
    </xf>
    <xf numFmtId="5" fontId="25" fillId="0" borderId="0" xfId="8" applyNumberFormat="1" applyFont="1" applyFill="1" applyBorder="1" applyAlignment="1" applyProtection="1">
      <alignment horizontal="center"/>
      <protection locked="0"/>
    </xf>
    <xf numFmtId="0" fontId="38" fillId="0" borderId="0" xfId="4" applyFont="1" applyAlignment="1" applyProtection="1">
      <alignment horizontal="center" vertical="top"/>
      <protection hidden="1"/>
    </xf>
    <xf numFmtId="0" fontId="13" fillId="3" borderId="8" xfId="4" applyFont="1" applyFill="1" applyBorder="1" applyAlignment="1" applyProtection="1">
      <alignment horizontal="left" vertical="top" wrapText="1"/>
      <protection locked="0"/>
    </xf>
    <xf numFmtId="0" fontId="22" fillId="3" borderId="9" xfId="4" applyFont="1" applyFill="1" applyBorder="1" applyAlignment="1" applyProtection="1">
      <alignment horizontal="left" vertical="top" wrapText="1"/>
      <protection locked="0"/>
    </xf>
    <xf numFmtId="0" fontId="25" fillId="3" borderId="9" xfId="4" applyFont="1" applyFill="1" applyBorder="1" applyAlignment="1" applyProtection="1">
      <alignment horizontal="left" vertical="top" wrapText="1"/>
      <protection locked="0"/>
    </xf>
    <xf numFmtId="0" fontId="25" fillId="3" borderId="7" xfId="4" applyFont="1" applyFill="1" applyBorder="1" applyAlignment="1" applyProtection="1">
      <alignment horizontal="left" vertical="top" wrapText="1"/>
      <protection locked="0"/>
    </xf>
    <xf numFmtId="0" fontId="25" fillId="6" borderId="0" xfId="4" applyFont="1" applyFill="1" applyAlignment="1" applyProtection="1">
      <alignment horizontal="center" vertical="center" wrapText="1"/>
      <protection hidden="1"/>
    </xf>
    <xf numFmtId="0" fontId="25" fillId="6" borderId="19" xfId="4" applyFont="1" applyFill="1" applyBorder="1" applyAlignment="1" applyProtection="1">
      <alignment horizontal="center" vertical="center" wrapText="1"/>
      <protection hidden="1"/>
    </xf>
    <xf numFmtId="0" fontId="57" fillId="0" borderId="0" xfId="4" applyFont="1" applyAlignment="1" applyProtection="1">
      <alignment horizontal="left" wrapText="1"/>
      <protection hidden="1"/>
    </xf>
    <xf numFmtId="0" fontId="30" fillId="0" borderId="0" xfId="4" applyFont="1" applyAlignment="1" applyProtection="1">
      <alignment horizontal="left" vertical="top" wrapText="1"/>
      <protection locked="0"/>
    </xf>
    <xf numFmtId="37" fontId="17" fillId="0" borderId="4" xfId="4" applyNumberFormat="1" applyFont="1" applyBorder="1" applyAlignment="1" applyProtection="1">
      <alignment horizontal="center"/>
      <protection hidden="1"/>
    </xf>
    <xf numFmtId="5" fontId="40" fillId="4" borderId="13" xfId="8" applyNumberFormat="1" applyFont="1" applyFill="1" applyBorder="1" applyAlignment="1" applyProtection="1">
      <alignment horizontal="right"/>
      <protection hidden="1"/>
    </xf>
    <xf numFmtId="5" fontId="26" fillId="4" borderId="0" xfId="4" applyNumberFormat="1" applyFont="1" applyFill="1" applyProtection="1">
      <protection hidden="1"/>
    </xf>
    <xf numFmtId="5" fontId="26" fillId="4" borderId="0" xfId="4" applyNumberFormat="1" applyFont="1" applyFill="1" applyAlignment="1" applyProtection="1">
      <alignment horizontal="right"/>
      <protection locked="0"/>
    </xf>
    <xf numFmtId="5" fontId="40" fillId="4" borderId="0" xfId="8" applyNumberFormat="1" applyFont="1" applyFill="1" applyBorder="1" applyAlignment="1" applyProtection="1">
      <alignment horizontal="right"/>
      <protection hidden="1"/>
    </xf>
    <xf numFmtId="166" fontId="36" fillId="6" borderId="19" xfId="4" applyNumberFormat="1" applyFont="1" applyFill="1" applyBorder="1" applyAlignment="1" applyProtection="1">
      <alignment horizontal="center" wrapText="1"/>
      <protection hidden="1"/>
    </xf>
    <xf numFmtId="0" fontId="38" fillId="0" borderId="0" xfId="4" applyFont="1" applyAlignment="1" applyProtection="1">
      <alignment horizontal="left" wrapText="1"/>
      <protection locked="0"/>
    </xf>
    <xf numFmtId="0" fontId="38" fillId="0" borderId="1" xfId="4" applyFont="1" applyBorder="1" applyAlignment="1" applyProtection="1">
      <alignment horizontal="left" wrapText="1"/>
      <protection locked="0"/>
    </xf>
    <xf numFmtId="5" fontId="25" fillId="4" borderId="4" xfId="9" applyNumberFormat="1" applyFont="1" applyFill="1" applyBorder="1" applyAlignment="1" applyProtection="1">
      <alignment horizontal="right"/>
      <protection hidden="1"/>
    </xf>
    <xf numFmtId="5" fontId="38" fillId="0" borderId="0" xfId="4" applyNumberFormat="1" applyFont="1" applyAlignment="1" applyProtection="1">
      <alignment horizontal="right" vertical="top"/>
      <protection hidden="1"/>
    </xf>
    <xf numFmtId="0" fontId="38" fillId="6" borderId="0" xfId="4" applyFont="1" applyFill="1" applyAlignment="1" applyProtection="1">
      <alignment horizontal="center" wrapText="1"/>
      <protection hidden="1"/>
    </xf>
    <xf numFmtId="0" fontId="36" fillId="6" borderId="0" xfId="4" applyFont="1" applyFill="1" applyAlignment="1" applyProtection="1">
      <alignment horizontal="center"/>
      <protection hidden="1"/>
    </xf>
    <xf numFmtId="0" fontId="25" fillId="0" borderId="10" xfId="4" applyFont="1" applyBorder="1" applyAlignment="1" applyProtection="1">
      <alignment horizontal="center"/>
      <protection hidden="1"/>
    </xf>
    <xf numFmtId="169" fontId="37" fillId="0" borderId="0" xfId="4" applyNumberFormat="1" applyFont="1" applyAlignment="1" applyProtection="1">
      <alignment horizontal="center" wrapText="1"/>
      <protection hidden="1"/>
    </xf>
    <xf numFmtId="164" fontId="73" fillId="5" borderId="11" xfId="7" applyNumberFormat="1" applyFont="1" applyFill="1" applyBorder="1" applyAlignment="1" applyProtection="1">
      <alignment horizontal="center"/>
      <protection hidden="1"/>
    </xf>
    <xf numFmtId="164" fontId="25" fillId="3" borderId="6" xfId="7" applyNumberFormat="1" applyFont="1" applyFill="1" applyBorder="1" applyAlignment="1" applyProtection="1">
      <alignment horizontal="center"/>
      <protection locked="0"/>
    </xf>
    <xf numFmtId="5" fontId="6" fillId="4" borderId="0" xfId="8" applyNumberFormat="1" applyFont="1" applyFill="1" applyBorder="1" applyProtection="1">
      <protection hidden="1"/>
    </xf>
    <xf numFmtId="173" fontId="54" fillId="4" borderId="0" xfId="4" applyNumberFormat="1" applyFont="1" applyFill="1" applyAlignment="1" applyProtection="1">
      <alignment horizontal="right" shrinkToFit="1"/>
      <protection hidden="1"/>
    </xf>
    <xf numFmtId="174" fontId="43" fillId="4" borderId="0" xfId="4" applyNumberFormat="1" applyFont="1" applyFill="1" applyAlignment="1" applyProtection="1">
      <alignment horizontal="right" shrinkToFit="1"/>
      <protection hidden="1"/>
    </xf>
    <xf numFmtId="5" fontId="25" fillId="4" borderId="1" xfId="8" applyNumberFormat="1" applyFont="1" applyFill="1" applyBorder="1" applyProtection="1">
      <protection hidden="1"/>
    </xf>
    <xf numFmtId="0" fontId="26" fillId="0" borderId="13" xfId="4" applyFont="1" applyBorder="1" applyAlignment="1" applyProtection="1">
      <alignment horizontal="center" vertical="center"/>
      <protection hidden="1"/>
    </xf>
    <xf numFmtId="168" fontId="30" fillId="0" borderId="0" xfId="4" applyNumberFormat="1" applyFont="1" applyAlignment="1" applyProtection="1">
      <alignment horizontal="center"/>
      <protection hidden="1"/>
    </xf>
    <xf numFmtId="166" fontId="38" fillId="6" borderId="0" xfId="4" applyNumberFormat="1" applyFont="1" applyFill="1" applyAlignment="1" applyProtection="1">
      <alignment horizontal="center"/>
      <protection hidden="1"/>
    </xf>
    <xf numFmtId="5" fontId="7" fillId="4" borderId="0" xfId="8" applyNumberFormat="1" applyFont="1" applyFill="1" applyBorder="1" applyProtection="1">
      <protection hidden="1"/>
    </xf>
    <xf numFmtId="5" fontId="25" fillId="4" borderId="3" xfId="9" applyNumberFormat="1" applyFont="1" applyFill="1" applyBorder="1" applyAlignment="1" applyProtection="1">
      <alignment horizontal="right"/>
      <protection hidden="1"/>
    </xf>
    <xf numFmtId="5" fontId="36" fillId="2" borderId="33" xfId="9" applyNumberFormat="1" applyFont="1" applyFill="1" applyBorder="1" applyAlignment="1" applyProtection="1">
      <alignment horizontal="right"/>
      <protection hidden="1"/>
    </xf>
    <xf numFmtId="5" fontId="25" fillId="0" borderId="0" xfId="8" applyNumberFormat="1" applyFont="1" applyBorder="1" applyAlignment="1" applyProtection="1">
      <alignment horizontal="right"/>
      <protection hidden="1"/>
    </xf>
    <xf numFmtId="5" fontId="25" fillId="0" borderId="1" xfId="8" applyNumberFormat="1" applyFont="1" applyBorder="1" applyAlignment="1" applyProtection="1">
      <alignment horizontal="right"/>
      <protection hidden="1"/>
    </xf>
    <xf numFmtId="164" fontId="25" fillId="3" borderId="8" xfId="7" applyNumberFormat="1" applyFont="1" applyFill="1" applyBorder="1" applyAlignment="1" applyProtection="1">
      <alignment horizontal="center"/>
      <protection locked="0"/>
    </xf>
    <xf numFmtId="164" fontId="25" fillId="3" borderId="7" xfId="7" applyNumberFormat="1" applyFont="1" applyFill="1" applyBorder="1" applyAlignment="1" applyProtection="1">
      <alignment horizontal="center"/>
      <protection locked="0"/>
    </xf>
    <xf numFmtId="37" fontId="25" fillId="3" borderId="6" xfId="8" applyNumberFormat="1" applyFont="1" applyFill="1" applyBorder="1" applyAlignment="1" applyProtection="1">
      <alignment horizontal="center"/>
      <protection locked="0"/>
    </xf>
    <xf numFmtId="5" fontId="25" fillId="3" borderId="34" xfId="8" applyNumberFormat="1" applyFont="1" applyFill="1" applyBorder="1" applyProtection="1">
      <protection locked="0"/>
    </xf>
    <xf numFmtId="5" fontId="25" fillId="3" borderId="5" xfId="8" applyNumberFormat="1" applyFont="1" applyFill="1" applyBorder="1" applyProtection="1">
      <protection locked="0"/>
    </xf>
    <xf numFmtId="0" fontId="43" fillId="0" borderId="0" xfId="4" applyFont="1" applyAlignment="1" applyProtection="1">
      <alignment horizontal="left" vertical="top" wrapText="1"/>
      <protection hidden="1"/>
    </xf>
    <xf numFmtId="0" fontId="93" fillId="2" borderId="12" xfId="2" applyFont="1" applyFill="1" applyBorder="1" applyAlignment="1">
      <alignment horizontal="center"/>
    </xf>
    <xf numFmtId="0" fontId="93" fillId="2" borderId="13" xfId="2" applyFont="1" applyFill="1" applyBorder="1" applyAlignment="1">
      <alignment horizontal="center"/>
    </xf>
    <xf numFmtId="0" fontId="93" fillId="2" borderId="14" xfId="2" applyFont="1" applyFill="1" applyBorder="1" applyAlignment="1">
      <alignment horizontal="center"/>
    </xf>
    <xf numFmtId="0" fontId="54" fillId="2" borderId="15" xfId="2" applyFont="1" applyFill="1" applyBorder="1" applyAlignment="1">
      <alignment horizontal="center"/>
    </xf>
    <xf numFmtId="0" fontId="54" fillId="2" borderId="0" xfId="2" applyFont="1" applyFill="1" applyAlignment="1">
      <alignment horizontal="center"/>
    </xf>
    <xf numFmtId="0" fontId="54" fillId="2" borderId="16" xfId="2" applyFont="1" applyFill="1" applyBorder="1" applyAlignment="1">
      <alignment horizontal="center"/>
    </xf>
    <xf numFmtId="0" fontId="91" fillId="0" borderId="0" xfId="2" applyFont="1" applyAlignment="1">
      <alignment wrapText="1"/>
    </xf>
    <xf numFmtId="0" fontId="38" fillId="0" borderId="0" xfId="4" applyFont="1" applyAlignment="1" applyProtection="1">
      <alignment horizontal="left" wrapText="1"/>
      <protection hidden="1"/>
    </xf>
    <xf numFmtId="0" fontId="38" fillId="0" borderId="1" xfId="4" applyFont="1" applyBorder="1" applyAlignment="1" applyProtection="1">
      <alignment horizontal="left" wrapText="1"/>
      <protection hidden="1"/>
    </xf>
    <xf numFmtId="0" fontId="25" fillId="0" borderId="29" xfId="4" applyFont="1" applyBorder="1" applyAlignment="1" applyProtection="1">
      <alignment horizontal="left"/>
      <protection hidden="1"/>
    </xf>
    <xf numFmtId="0" fontId="25" fillId="0" borderId="41" xfId="4" applyFont="1" applyBorder="1" applyAlignment="1" applyProtection="1">
      <alignment horizontal="left"/>
      <protection hidden="1"/>
    </xf>
    <xf numFmtId="0" fontId="25" fillId="0" borderId="8" xfId="4" applyFont="1" applyBorder="1" applyAlignment="1" applyProtection="1">
      <alignment horizontal="left"/>
      <protection hidden="1"/>
    </xf>
    <xf numFmtId="0" fontId="25" fillId="0" borderId="9" xfId="4" applyFont="1" applyBorder="1" applyAlignment="1" applyProtection="1">
      <alignment horizontal="left"/>
      <protection hidden="1"/>
    </xf>
    <xf numFmtId="0" fontId="25" fillId="0" borderId="7" xfId="4" applyFont="1" applyBorder="1" applyAlignment="1" applyProtection="1">
      <alignment horizontal="left"/>
      <protection hidden="1"/>
    </xf>
    <xf numFmtId="5" fontId="39" fillId="2" borderId="4" xfId="9" applyNumberFormat="1" applyFont="1" applyFill="1" applyBorder="1" applyAlignment="1" applyProtection="1">
      <alignment horizontal="right" vertical="top" wrapText="1"/>
      <protection hidden="1"/>
    </xf>
    <xf numFmtId="0" fontId="25" fillId="0" borderId="0" xfId="4" applyFont="1" applyAlignment="1" applyProtection="1">
      <alignment wrapText="1"/>
      <protection hidden="1"/>
    </xf>
    <xf numFmtId="5" fontId="25" fillId="0" borderId="0" xfId="8" applyNumberFormat="1" applyFont="1" applyBorder="1" applyAlignment="1" applyProtection="1">
      <alignment horizontal="right" vertical="top" wrapText="1"/>
      <protection hidden="1"/>
    </xf>
    <xf numFmtId="5" fontId="25" fillId="0" borderId="10" xfId="8" applyNumberFormat="1" applyFont="1" applyBorder="1" applyAlignment="1" applyProtection="1">
      <alignment horizontal="right" vertical="top" wrapText="1"/>
      <protection hidden="1"/>
    </xf>
    <xf numFmtId="5" fontId="25" fillId="3" borderId="30" xfId="8" applyNumberFormat="1" applyFont="1" applyFill="1" applyBorder="1" applyAlignment="1" applyProtection="1">
      <alignment horizontal="right" vertical="top" wrapText="1"/>
      <protection locked="0"/>
    </xf>
    <xf numFmtId="5" fontId="25" fillId="3" borderId="31" xfId="8" applyNumberFormat="1" applyFont="1" applyFill="1" applyBorder="1" applyAlignment="1" applyProtection="1">
      <alignment horizontal="right" vertical="top" wrapText="1"/>
      <protection locked="0"/>
    </xf>
    <xf numFmtId="0" fontId="59" fillId="0" borderId="29" xfId="4" applyFont="1" applyBorder="1" applyAlignment="1" applyProtection="1">
      <alignment horizontal="left"/>
      <protection hidden="1"/>
    </xf>
    <xf numFmtId="0" fontId="59" fillId="0" borderId="10" xfId="4" applyFont="1" applyBorder="1" applyAlignment="1" applyProtection="1">
      <alignment horizontal="left"/>
      <protection hidden="1"/>
    </xf>
    <xf numFmtId="0" fontId="59" fillId="0" borderId="41" xfId="4" applyFont="1" applyBorder="1" applyAlignment="1" applyProtection="1">
      <alignment horizontal="left"/>
      <protection hidden="1"/>
    </xf>
    <xf numFmtId="37" fontId="30" fillId="0" borderId="0" xfId="4" applyNumberFormat="1" applyFont="1" applyProtection="1">
      <protection hidden="1"/>
    </xf>
    <xf numFmtId="0" fontId="13" fillId="3" borderId="8" xfId="4" applyFont="1" applyFill="1" applyBorder="1" applyAlignment="1" applyProtection="1">
      <alignment horizontal="left" vertical="top" wrapText="1"/>
      <protection hidden="1"/>
    </xf>
    <xf numFmtId="0" fontId="22" fillId="3" borderId="9" xfId="4" applyFont="1" applyFill="1" applyBorder="1" applyAlignment="1" applyProtection="1">
      <alignment horizontal="left" vertical="top" wrapText="1"/>
      <protection hidden="1"/>
    </xf>
    <xf numFmtId="0" fontId="25" fillId="3" borderId="9" xfId="4" applyFont="1" applyFill="1" applyBorder="1" applyAlignment="1" applyProtection="1">
      <alignment horizontal="left" vertical="top" wrapText="1"/>
      <protection hidden="1"/>
    </xf>
    <xf numFmtId="0" fontId="25" fillId="3" borderId="7" xfId="4" applyFont="1" applyFill="1" applyBorder="1" applyAlignment="1" applyProtection="1">
      <alignment horizontal="left" vertical="top" wrapText="1"/>
      <protection hidden="1"/>
    </xf>
  </cellXfs>
  <cellStyles count="15">
    <cellStyle name="Comma" xfId="8" builtinId="3"/>
    <cellStyle name="Currency" xfId="9" builtinId="4"/>
    <cellStyle name="Currency 2" xfId="14" xr:uid="{00000000-0005-0000-0000-000002000000}"/>
    <cellStyle name="Hyperlink" xfId="3" builtinId="8"/>
    <cellStyle name="Hyperlink 2" xfId="1" xr:uid="{00000000-0005-0000-0000-000004000000}"/>
    <cellStyle name="Hyperlink 3" xfId="6" xr:uid="{00000000-0005-0000-0000-000005000000}"/>
    <cellStyle name="Normal" xfId="0" builtinId="0"/>
    <cellStyle name="Normal 2" xfId="2" xr:uid="{00000000-0005-0000-0000-000007000000}"/>
    <cellStyle name="Normal 3" xfId="4" xr:uid="{00000000-0005-0000-0000-000008000000}"/>
    <cellStyle name="Normal 3 2" xfId="11" xr:uid="{00000000-0005-0000-0000-000009000000}"/>
    <cellStyle name="Normal 4" xfId="10" xr:uid="{00000000-0005-0000-0000-00000A000000}"/>
    <cellStyle name="Normal 5" xfId="12" xr:uid="{00000000-0005-0000-0000-00000B000000}"/>
    <cellStyle name="Percent" xfId="7" builtinId="5"/>
    <cellStyle name="Percent 2" xfId="5" xr:uid="{00000000-0005-0000-0000-00000D000000}"/>
    <cellStyle name="Percent 3" xfId="13" xr:uid="{00000000-0005-0000-0000-00000E000000}"/>
  </cellStyles>
  <dxfs count="64">
    <dxf>
      <font>
        <b val="0"/>
        <i/>
      </font>
    </dxf>
    <dxf>
      <numFmt numFmtId="14" formatCode="0.00%"/>
    </dxf>
    <dxf>
      <fill>
        <patternFill>
          <bgColor rgb="FFFFFFCC"/>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border>
        <left style="hair">
          <color auto="1"/>
        </left>
        <right style="hair">
          <color auto="1"/>
        </right>
        <top style="hair">
          <color auto="1"/>
        </top>
        <bottom style="hair">
          <color auto="1"/>
        </bottom>
        <vertical/>
        <horizontal/>
      </border>
    </dxf>
    <dxf>
      <font>
        <b/>
        <i val="0"/>
        <color rgb="FFFF0000"/>
      </font>
    </dxf>
    <dxf>
      <fill>
        <patternFill>
          <bgColor rgb="FFFFFFCC"/>
        </patternFill>
      </fill>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ont>
        <color rgb="FF9C0006"/>
      </font>
      <fill>
        <patternFill>
          <bgColor rgb="FFFFC7CE"/>
        </patternFill>
      </fill>
    </dxf>
    <dxf>
      <font>
        <color rgb="FF9C6500"/>
      </font>
      <fill>
        <patternFill patternType="none">
          <bgColor auto="1"/>
        </patternFill>
      </fill>
    </dxf>
    <dxf>
      <font>
        <color theme="1"/>
      </font>
      <fill>
        <patternFill>
          <bgColor rgb="FFFFFFCC"/>
        </patternFill>
      </fill>
      <border>
        <left style="hair">
          <color auto="1"/>
        </left>
        <right style="hair">
          <color auto="1"/>
        </right>
        <top style="hair">
          <color auto="1"/>
        </top>
        <bottom style="hair">
          <color auto="1"/>
        </bottom>
        <vertical/>
        <horizontal/>
      </border>
    </dxf>
    <dxf>
      <font>
        <color rgb="FF006100"/>
      </font>
      <fill>
        <patternFill>
          <bgColor rgb="FFC6EFCE"/>
        </patternFill>
      </fill>
    </dxf>
    <dxf>
      <font>
        <b/>
        <i val="0"/>
        <color rgb="FFFF000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b/>
        <i val="0"/>
        <color rgb="FFFF0000"/>
      </font>
    </dxf>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border>
    </dxf>
    <dxf>
      <font>
        <color rgb="FF0000FF"/>
      </font>
    </dxf>
    <dxf>
      <font>
        <color theme="1"/>
      </font>
    </dxf>
    <dxf>
      <font>
        <color theme="1"/>
      </font>
    </dxf>
    <dxf>
      <font>
        <b/>
        <i val="0"/>
        <color rgb="FFFF0000"/>
      </font>
    </dxf>
    <dxf>
      <font>
        <color rgb="FFFF0000"/>
      </font>
    </dxf>
    <dxf>
      <font>
        <b/>
        <i val="0"/>
        <color rgb="FFFF0000"/>
      </font>
    </dxf>
    <dxf>
      <font>
        <b/>
        <i val="0"/>
        <color rgb="FFFF0000"/>
      </font>
    </dxf>
    <dxf>
      <font>
        <b/>
        <i val="0"/>
        <color rgb="FFFF0000"/>
      </font>
    </dxf>
    <dxf>
      <fill>
        <patternFill>
          <bgColor rgb="FFFFFFCC"/>
        </patternFill>
      </fill>
      <border>
        <left style="hair">
          <color auto="1"/>
        </left>
        <right style="hair">
          <color auto="1"/>
        </right>
        <top style="hair">
          <color auto="1"/>
        </top>
        <bottom style="hair">
          <color auto="1"/>
        </bottom>
      </border>
    </dxf>
    <dxf>
      <font>
        <b val="0"/>
        <i/>
      </font>
    </dxf>
    <dxf>
      <numFmt numFmtId="14" formatCode="0.00%"/>
    </dxf>
    <dxf>
      <fill>
        <patternFill>
          <bgColor rgb="FFFFFFCC"/>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right/>
        <top/>
        <bottom/>
      </border>
    </dxf>
    <dxf>
      <fill>
        <patternFill patternType="none">
          <bgColor auto="1"/>
        </patternFill>
      </fill>
      <border>
        <left/>
        <right/>
        <top/>
        <bottom/>
      </border>
    </dxf>
    <dxf>
      <border>
        <left style="hair">
          <color auto="1"/>
        </left>
        <right style="hair">
          <color auto="1"/>
        </right>
        <top style="hair">
          <color auto="1"/>
        </top>
        <bottom style="hair">
          <color auto="1"/>
        </bottom>
        <vertical/>
        <horizontal/>
      </border>
    </dxf>
    <dxf>
      <font>
        <b/>
        <i val="0"/>
        <color rgb="FFFF0000"/>
      </font>
    </dxf>
    <dxf>
      <fill>
        <patternFill>
          <bgColor rgb="FFFFFFCC"/>
        </patternFill>
      </fill>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ont>
        <color rgb="FF9C0006"/>
      </font>
      <fill>
        <patternFill>
          <bgColor rgb="FFFFC7CE"/>
        </patternFill>
      </fill>
    </dxf>
    <dxf>
      <font>
        <color rgb="FF9C6500"/>
      </font>
      <fill>
        <patternFill patternType="none">
          <bgColor auto="1"/>
        </patternFill>
      </fill>
    </dxf>
    <dxf>
      <font>
        <color theme="1"/>
      </font>
      <fill>
        <patternFill>
          <bgColor rgb="FFFFFFCC"/>
        </patternFill>
      </fill>
      <border>
        <left style="hair">
          <color auto="1"/>
        </left>
        <right style="hair">
          <color auto="1"/>
        </right>
        <top style="hair">
          <color auto="1"/>
        </top>
        <bottom style="hair">
          <color auto="1"/>
        </bottom>
        <vertical/>
        <horizontal/>
      </border>
    </dxf>
    <dxf>
      <font>
        <color rgb="FF006100"/>
      </font>
      <fill>
        <patternFill>
          <bgColor rgb="FFC6EFCE"/>
        </patternFill>
      </fill>
    </dxf>
    <dxf>
      <font>
        <b/>
        <i val="0"/>
        <color rgb="FFFF000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b/>
        <i val="0"/>
        <color rgb="FFFF0000"/>
      </font>
    </dxf>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border>
    </dxf>
    <dxf>
      <font>
        <color rgb="FF0000FF"/>
      </font>
    </dxf>
    <dxf>
      <font>
        <color theme="1"/>
      </font>
    </dxf>
    <dxf>
      <font>
        <color theme="1"/>
      </font>
    </dxf>
    <dxf>
      <font>
        <b/>
        <i val="0"/>
        <color rgb="FFFF0000"/>
      </font>
    </dxf>
    <dxf>
      <font>
        <color rgb="FFFF0000"/>
      </font>
    </dxf>
    <dxf>
      <font>
        <b/>
        <i val="0"/>
        <color rgb="FFFF0000"/>
      </font>
    </dxf>
    <dxf>
      <font>
        <b/>
        <i val="0"/>
        <color rgb="FFFF0000"/>
      </font>
    </dxf>
    <dxf>
      <font>
        <b/>
        <i val="0"/>
        <color rgb="FFFF0000"/>
      </font>
    </dxf>
    <dxf>
      <fill>
        <patternFill>
          <bgColor rgb="FFFFFFCC"/>
        </patternFill>
      </fill>
      <border>
        <left style="hair">
          <color auto="1"/>
        </left>
        <right style="hair">
          <color auto="1"/>
        </right>
        <top style="hair">
          <color auto="1"/>
        </top>
        <bottom style="hair">
          <color auto="1"/>
        </bottom>
      </border>
    </dxf>
  </dxfs>
  <tableStyles count="0" defaultTableStyle="TableStyleMedium2" defaultPivotStyle="PivotStyleLight16"/>
  <colors>
    <mruColors>
      <color rgb="FF0000FF"/>
      <color rgb="FFFFFFCC"/>
      <color rgb="FF9C0006"/>
      <color rgb="FFFFC7C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1</xdr:row>
          <xdr:rowOff>76200</xdr:rowOff>
        </xdr:from>
        <xdr:to>
          <xdr:col>9</xdr:col>
          <xdr:colOff>342900</xdr:colOff>
          <xdr:row>3</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Rate Update within Existing 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xdr:row>
          <xdr:rowOff>66675</xdr:rowOff>
        </xdr:from>
        <xdr:to>
          <xdr:col>6</xdr:col>
          <xdr:colOff>171450</xdr:colOff>
          <xdr:row>3</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ST Request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0</xdr:rowOff>
    </xdr:from>
    <xdr:to>
      <xdr:col>1</xdr:col>
      <xdr:colOff>2857500</xdr:colOff>
      <xdr:row>0</xdr:row>
      <xdr:rowOff>11946</xdr:rowOff>
    </xdr:to>
    <xdr:pic>
      <xdr:nvPicPr>
        <xdr:cNvPr id="4" name="Picture 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90526"/>
          <a:ext cx="2838450" cy="3221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ac3814\AppData\Local\Microsoft\Windows\INetCache\Content.Outlook\ALOL2440\RBSA%20Workshee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es"/>
      <sheetName val="Costs"/>
    </sheetNames>
    <sheetDataSet>
      <sheetData sheetId="0" refreshError="1">
        <row r="1">
          <cell r="A1" t="str">
            <v>RBSA Worksheet--Lab/Title</v>
          </cell>
        </row>
        <row r="2">
          <cell r="A2" t="str">
            <v>Manager</v>
          </cell>
        </row>
        <row r="3">
          <cell r="A3" t="str">
            <v>Speedtype</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md.uccs.edu/uccs-controllers-office/frequently-asked-questions/rate-based-service-activities" TargetMode="External"/><Relationship Id="rId7" Type="http://schemas.openxmlformats.org/officeDocument/2006/relationships/hyperlink" Target="https://rmd.uccs.edu/uccs-controllers-office/frequently-asked-questions/rate-based-service-activities" TargetMode="External"/><Relationship Id="rId2" Type="http://schemas.openxmlformats.org/officeDocument/2006/relationships/hyperlink" Target="https://compliance.uccs.edu/news/record-retention" TargetMode="External"/><Relationship Id="rId1" Type="http://schemas.openxmlformats.org/officeDocument/2006/relationships/hyperlink" Target="https://rmd.uccs.edu/uccs-controllers-office" TargetMode="External"/><Relationship Id="rId6" Type="http://schemas.openxmlformats.org/officeDocument/2006/relationships/hyperlink" Target="https://rmd.uccs.edu/uccs-controllers-office/frequently-asked-questions/internal-sales-activity-rate" TargetMode="External"/><Relationship Id="rId5" Type="http://schemas.openxmlformats.org/officeDocument/2006/relationships/hyperlink" Target="https://rmd.uccs.edu/uccs-controllers-office/ubit-faqs" TargetMode="External"/><Relationship Id="rId4" Type="http://schemas.openxmlformats.org/officeDocument/2006/relationships/hyperlink" Target="mailto:rates@colorado.edu?subject=Rate-setting%20questio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mailto:rates@colorado.edu?subject=Additional%20rows%20for%20expenses"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848"/>
  <sheetViews>
    <sheetView showGridLines="0" tabSelected="1" zoomScaleNormal="100" zoomScaleSheetLayoutView="100" workbookViewId="0">
      <selection activeCell="O21" sqref="O21"/>
    </sheetView>
  </sheetViews>
  <sheetFormatPr defaultRowHeight="12.75" x14ac:dyDescent="0.2"/>
  <cols>
    <col min="1" max="1" width="1.42578125" style="236" customWidth="1"/>
    <col min="2" max="3" width="3" style="236" customWidth="1"/>
    <col min="4" max="4" width="16" style="236" customWidth="1"/>
    <col min="5" max="5" width="8.85546875" style="236" customWidth="1"/>
    <col min="6" max="6" width="55.5703125" style="236" customWidth="1"/>
    <col min="7" max="260" width="9.140625" style="236"/>
    <col min="261" max="261" width="80.7109375" style="236" customWidth="1"/>
    <col min="262" max="516" width="9.140625" style="236"/>
    <col min="517" max="517" width="80.7109375" style="236" customWidth="1"/>
    <col min="518" max="772" width="9.140625" style="236"/>
    <col min="773" max="773" width="80.7109375" style="236" customWidth="1"/>
    <col min="774" max="1028" width="9.140625" style="236"/>
    <col min="1029" max="1029" width="80.7109375" style="236" customWidth="1"/>
    <col min="1030" max="1284" width="9.140625" style="236"/>
    <col min="1285" max="1285" width="80.7109375" style="236" customWidth="1"/>
    <col min="1286" max="1540" width="9.140625" style="236"/>
    <col min="1541" max="1541" width="80.7109375" style="236" customWidth="1"/>
    <col min="1542" max="1796" width="9.140625" style="236"/>
    <col min="1797" max="1797" width="80.7109375" style="236" customWidth="1"/>
    <col min="1798" max="2052" width="9.140625" style="236"/>
    <col min="2053" max="2053" width="80.7109375" style="236" customWidth="1"/>
    <col min="2054" max="2308" width="9.140625" style="236"/>
    <col min="2309" max="2309" width="80.7109375" style="236" customWidth="1"/>
    <col min="2310" max="2564" width="9.140625" style="236"/>
    <col min="2565" max="2565" width="80.7109375" style="236" customWidth="1"/>
    <col min="2566" max="2820" width="9.140625" style="236"/>
    <col min="2821" max="2821" width="80.7109375" style="236" customWidth="1"/>
    <col min="2822" max="3076" width="9.140625" style="236"/>
    <col min="3077" max="3077" width="80.7109375" style="236" customWidth="1"/>
    <col min="3078" max="3332" width="9.140625" style="236"/>
    <col min="3333" max="3333" width="80.7109375" style="236" customWidth="1"/>
    <col min="3334" max="3588" width="9.140625" style="236"/>
    <col min="3589" max="3589" width="80.7109375" style="236" customWidth="1"/>
    <col min="3590" max="3844" width="9.140625" style="236"/>
    <col min="3845" max="3845" width="80.7109375" style="236" customWidth="1"/>
    <col min="3846" max="4100" width="9.140625" style="236"/>
    <col min="4101" max="4101" width="80.7109375" style="236" customWidth="1"/>
    <col min="4102" max="4356" width="9.140625" style="236"/>
    <col min="4357" max="4357" width="80.7109375" style="236" customWidth="1"/>
    <col min="4358" max="4612" width="9.140625" style="236"/>
    <col min="4613" max="4613" width="80.7109375" style="236" customWidth="1"/>
    <col min="4614" max="4868" width="9.140625" style="236"/>
    <col min="4869" max="4869" width="80.7109375" style="236" customWidth="1"/>
    <col min="4870" max="5124" width="9.140625" style="236"/>
    <col min="5125" max="5125" width="80.7109375" style="236" customWidth="1"/>
    <col min="5126" max="5380" width="9.140625" style="236"/>
    <col min="5381" max="5381" width="80.7109375" style="236" customWidth="1"/>
    <col min="5382" max="5636" width="9.140625" style="236"/>
    <col min="5637" max="5637" width="80.7109375" style="236" customWidth="1"/>
    <col min="5638" max="5892" width="9.140625" style="236"/>
    <col min="5893" max="5893" width="80.7109375" style="236" customWidth="1"/>
    <col min="5894" max="6148" width="9.140625" style="236"/>
    <col min="6149" max="6149" width="80.7109375" style="236" customWidth="1"/>
    <col min="6150" max="6404" width="9.140625" style="236"/>
    <col min="6405" max="6405" width="80.7109375" style="236" customWidth="1"/>
    <col min="6406" max="6660" width="9.140625" style="236"/>
    <col min="6661" max="6661" width="80.7109375" style="236" customWidth="1"/>
    <col min="6662" max="6916" width="9.140625" style="236"/>
    <col min="6917" max="6917" width="80.7109375" style="236" customWidth="1"/>
    <col min="6918" max="7172" width="9.140625" style="236"/>
    <col min="7173" max="7173" width="80.7109375" style="236" customWidth="1"/>
    <col min="7174" max="7428" width="9.140625" style="236"/>
    <col min="7429" max="7429" width="80.7109375" style="236" customWidth="1"/>
    <col min="7430" max="7684" width="9.140625" style="236"/>
    <col min="7685" max="7685" width="80.7109375" style="236" customWidth="1"/>
    <col min="7686" max="7940" width="9.140625" style="236"/>
    <col min="7941" max="7941" width="80.7109375" style="236" customWidth="1"/>
    <col min="7942" max="8196" width="9.140625" style="236"/>
    <col min="8197" max="8197" width="80.7109375" style="236" customWidth="1"/>
    <col min="8198" max="8452" width="9.140625" style="236"/>
    <col min="8453" max="8453" width="80.7109375" style="236" customWidth="1"/>
    <col min="8454" max="8708" width="9.140625" style="236"/>
    <col min="8709" max="8709" width="80.7109375" style="236" customWidth="1"/>
    <col min="8710" max="8964" width="9.140625" style="236"/>
    <col min="8965" max="8965" width="80.7109375" style="236" customWidth="1"/>
    <col min="8966" max="9220" width="9.140625" style="236"/>
    <col min="9221" max="9221" width="80.7109375" style="236" customWidth="1"/>
    <col min="9222" max="9476" width="9.140625" style="236"/>
    <col min="9477" max="9477" width="80.7109375" style="236" customWidth="1"/>
    <col min="9478" max="9732" width="9.140625" style="236"/>
    <col min="9733" max="9733" width="80.7109375" style="236" customWidth="1"/>
    <col min="9734" max="9988" width="9.140625" style="236"/>
    <col min="9989" max="9989" width="80.7109375" style="236" customWidth="1"/>
    <col min="9990" max="10244" width="9.140625" style="236"/>
    <col min="10245" max="10245" width="80.7109375" style="236" customWidth="1"/>
    <col min="10246" max="10500" width="9.140625" style="236"/>
    <col min="10501" max="10501" width="80.7109375" style="236" customWidth="1"/>
    <col min="10502" max="10756" width="9.140625" style="236"/>
    <col min="10757" max="10757" width="80.7109375" style="236" customWidth="1"/>
    <col min="10758" max="11012" width="9.140625" style="236"/>
    <col min="11013" max="11013" width="80.7109375" style="236" customWidth="1"/>
    <col min="11014" max="11268" width="9.140625" style="236"/>
    <col min="11269" max="11269" width="80.7109375" style="236" customWidth="1"/>
    <col min="11270" max="11524" width="9.140625" style="236"/>
    <col min="11525" max="11525" width="80.7109375" style="236" customWidth="1"/>
    <col min="11526" max="11780" width="9.140625" style="236"/>
    <col min="11781" max="11781" width="80.7109375" style="236" customWidth="1"/>
    <col min="11782" max="12036" width="9.140625" style="236"/>
    <col min="12037" max="12037" width="80.7109375" style="236" customWidth="1"/>
    <col min="12038" max="12292" width="9.140625" style="236"/>
    <col min="12293" max="12293" width="80.7109375" style="236" customWidth="1"/>
    <col min="12294" max="12548" width="9.140625" style="236"/>
    <col min="12549" max="12549" width="80.7109375" style="236" customWidth="1"/>
    <col min="12550" max="12804" width="9.140625" style="236"/>
    <col min="12805" max="12805" width="80.7109375" style="236" customWidth="1"/>
    <col min="12806" max="13060" width="9.140625" style="236"/>
    <col min="13061" max="13061" width="80.7109375" style="236" customWidth="1"/>
    <col min="13062" max="13316" width="9.140625" style="236"/>
    <col min="13317" max="13317" width="80.7109375" style="236" customWidth="1"/>
    <col min="13318" max="13572" width="9.140625" style="236"/>
    <col min="13573" max="13573" width="80.7109375" style="236" customWidth="1"/>
    <col min="13574" max="13828" width="9.140625" style="236"/>
    <col min="13829" max="13829" width="80.7109375" style="236" customWidth="1"/>
    <col min="13830" max="14084" width="9.140625" style="236"/>
    <col min="14085" max="14085" width="80.7109375" style="236" customWidth="1"/>
    <col min="14086" max="14340" width="9.140625" style="236"/>
    <col min="14341" max="14341" width="80.7109375" style="236" customWidth="1"/>
    <col min="14342" max="14596" width="9.140625" style="236"/>
    <col min="14597" max="14597" width="80.7109375" style="236" customWidth="1"/>
    <col min="14598" max="14852" width="9.140625" style="236"/>
    <col min="14853" max="14853" width="80.7109375" style="236" customWidth="1"/>
    <col min="14854" max="15108" width="9.140625" style="236"/>
    <col min="15109" max="15109" width="80.7109375" style="236" customWidth="1"/>
    <col min="15110" max="15364" width="9.140625" style="236"/>
    <col min="15365" max="15365" width="80.7109375" style="236" customWidth="1"/>
    <col min="15366" max="15620" width="9.140625" style="236"/>
    <col min="15621" max="15621" width="80.7109375" style="236" customWidth="1"/>
    <col min="15622" max="15876" width="9.140625" style="236"/>
    <col min="15877" max="15877" width="80.7109375" style="236" customWidth="1"/>
    <col min="15878" max="16132" width="9.140625" style="236"/>
    <col min="16133" max="16133" width="80.7109375" style="236" customWidth="1"/>
    <col min="16134" max="16384" width="9.140625" style="236"/>
  </cols>
  <sheetData>
    <row r="1" spans="1:7" ht="20.25" x14ac:dyDescent="0.2">
      <c r="B1" s="451" t="str">
        <f>"UCCS "&amp;Control!C6&amp;" Rate-Based Service Activity - Rate Development"</f>
        <v>UCCS FY24 Rate-Based Service Activity - Rate Development</v>
      </c>
      <c r="C1" s="451"/>
      <c r="D1" s="451"/>
      <c r="E1" s="451"/>
      <c r="F1" s="451"/>
    </row>
    <row r="2" spans="1:7" ht="20.25" x14ac:dyDescent="0.2">
      <c r="B2" s="451" t="s">
        <v>190</v>
      </c>
      <c r="C2" s="451"/>
      <c r="D2" s="451"/>
      <c r="E2" s="451"/>
      <c r="F2" s="451"/>
    </row>
    <row r="3" spans="1:7" ht="20.25" x14ac:dyDescent="0.2">
      <c r="D3" s="237"/>
      <c r="E3" s="237"/>
    </row>
    <row r="4" spans="1:7" ht="15" x14ac:dyDescent="0.2">
      <c r="A4" s="238"/>
      <c r="B4" s="239" t="s">
        <v>199</v>
      </c>
      <c r="C4" s="240"/>
      <c r="D4" s="238"/>
      <c r="E4" s="238"/>
      <c r="F4" s="238"/>
    </row>
    <row r="5" spans="1:7" ht="6.75" customHeight="1" x14ac:dyDescent="0.2">
      <c r="A5" s="238"/>
      <c r="B5" s="239"/>
      <c r="C5" s="240"/>
      <c r="D5" s="238"/>
      <c r="E5" s="238"/>
      <c r="F5" s="238"/>
    </row>
    <row r="6" spans="1:7" x14ac:dyDescent="0.2">
      <c r="C6" s="241" t="s">
        <v>164</v>
      </c>
      <c r="D6" s="242" t="s">
        <v>162</v>
      </c>
      <c r="E6" s="453" t="s">
        <v>202</v>
      </c>
      <c r="F6" s="453"/>
      <c r="G6" s="453"/>
    </row>
    <row r="7" spans="1:7" x14ac:dyDescent="0.2">
      <c r="C7" s="241"/>
      <c r="D7" s="244"/>
      <c r="E7" s="453"/>
      <c r="F7" s="453"/>
      <c r="G7" s="453"/>
    </row>
    <row r="8" spans="1:7" ht="4.5" customHeight="1" x14ac:dyDescent="0.2">
      <c r="D8" s="245"/>
      <c r="E8" s="245"/>
      <c r="F8" s="244"/>
      <c r="G8" s="246"/>
    </row>
    <row r="9" spans="1:7" x14ac:dyDescent="0.2">
      <c r="D9" s="247" t="s">
        <v>163</v>
      </c>
      <c r="E9" s="243" t="s">
        <v>192</v>
      </c>
      <c r="F9" s="243"/>
    </row>
    <row r="10" spans="1:7" ht="4.5" customHeight="1" x14ac:dyDescent="0.2">
      <c r="D10" s="245"/>
      <c r="E10" s="245"/>
    </row>
    <row r="11" spans="1:7" x14ac:dyDescent="0.2">
      <c r="D11" s="241" t="s">
        <v>200</v>
      </c>
      <c r="E11" s="241"/>
    </row>
    <row r="12" spans="1:7" ht="4.5" customHeight="1" x14ac:dyDescent="0.2">
      <c r="D12" s="245"/>
      <c r="E12" s="245"/>
    </row>
    <row r="13" spans="1:7" s="246" customFormat="1" ht="43.5" customHeight="1" x14ac:dyDescent="0.2">
      <c r="C13" s="243" t="s">
        <v>165</v>
      </c>
      <c r="D13" s="453" t="s">
        <v>319</v>
      </c>
      <c r="E13" s="453"/>
      <c r="F13" s="453"/>
    </row>
    <row r="14" spans="1:7" ht="4.5" customHeight="1" x14ac:dyDescent="0.2">
      <c r="C14" s="241"/>
      <c r="D14" s="241"/>
      <c r="E14" s="241"/>
    </row>
    <row r="15" spans="1:7" ht="25.5" customHeight="1" x14ac:dyDescent="0.2">
      <c r="C15" s="448" t="s">
        <v>166</v>
      </c>
      <c r="D15" s="455" t="s">
        <v>320</v>
      </c>
      <c r="E15" s="455"/>
      <c r="F15" s="455"/>
      <c r="G15" s="455"/>
    </row>
    <row r="16" spans="1:7" x14ac:dyDescent="0.2">
      <c r="C16" s="241"/>
      <c r="D16" s="241"/>
      <c r="E16" s="241"/>
    </row>
    <row r="17" spans="1:7" ht="25.5" customHeight="1" x14ac:dyDescent="0.2">
      <c r="C17" s="453" t="s">
        <v>204</v>
      </c>
      <c r="D17" s="453"/>
      <c r="E17" s="453"/>
      <c r="F17" s="453"/>
      <c r="G17" s="453"/>
    </row>
    <row r="18" spans="1:7" x14ac:dyDescent="0.2">
      <c r="D18" s="245"/>
      <c r="E18" s="245"/>
    </row>
    <row r="19" spans="1:7" ht="15.75" x14ac:dyDescent="0.2">
      <c r="A19" s="238"/>
      <c r="B19" s="248" t="s">
        <v>189</v>
      </c>
      <c r="C19" s="249"/>
      <c r="D19" s="238"/>
      <c r="E19" s="238"/>
      <c r="F19" s="238"/>
    </row>
    <row r="20" spans="1:7" s="238" customFormat="1" ht="6.75" customHeight="1" x14ac:dyDescent="0.2">
      <c r="B20" s="248"/>
      <c r="C20" s="254"/>
    </row>
    <row r="21" spans="1:7" ht="51" customHeight="1" x14ac:dyDescent="0.2">
      <c r="A21" s="238"/>
      <c r="B21" s="238"/>
      <c r="C21" s="456" t="s">
        <v>306</v>
      </c>
      <c r="D21" s="456"/>
      <c r="E21" s="456"/>
      <c r="F21" s="456"/>
      <c r="G21" s="456"/>
    </row>
    <row r="22" spans="1:7" x14ac:dyDescent="0.2">
      <c r="C22" s="236" t="s">
        <v>201</v>
      </c>
      <c r="D22" s="250"/>
      <c r="E22" s="250"/>
      <c r="F22" s="450" t="s">
        <v>326</v>
      </c>
    </row>
    <row r="23" spans="1:7" x14ac:dyDescent="0.2">
      <c r="C23" s="457" t="s">
        <v>321</v>
      </c>
      <c r="D23" s="457"/>
      <c r="E23" s="457"/>
      <c r="F23" s="457"/>
      <c r="G23" s="457"/>
    </row>
    <row r="24" spans="1:7" x14ac:dyDescent="0.2">
      <c r="C24" s="236" t="s">
        <v>203</v>
      </c>
      <c r="D24" s="245"/>
      <c r="E24" s="245"/>
    </row>
    <row r="25" spans="1:7" x14ac:dyDescent="0.2">
      <c r="D25" s="245"/>
      <c r="E25" s="245"/>
    </row>
    <row r="26" spans="1:7" ht="15.75" x14ac:dyDescent="0.2">
      <c r="A26" s="238"/>
      <c r="B26" s="248" t="s">
        <v>193</v>
      </c>
      <c r="C26" s="249"/>
      <c r="D26" s="238"/>
      <c r="E26" s="238"/>
      <c r="F26" s="238"/>
    </row>
    <row r="27" spans="1:7" s="238" customFormat="1" ht="6.75" customHeight="1" x14ac:dyDescent="0.2">
      <c r="B27" s="248"/>
      <c r="C27" s="254"/>
    </row>
    <row r="28" spans="1:7" ht="114.75" customHeight="1" x14ac:dyDescent="0.2">
      <c r="C28" s="458" t="s">
        <v>313</v>
      </c>
      <c r="D28" s="458"/>
      <c r="E28" s="458"/>
      <c r="F28" s="458"/>
      <c r="G28" s="458"/>
    </row>
    <row r="29" spans="1:7" x14ac:dyDescent="0.2">
      <c r="C29" s="454" t="s">
        <v>325</v>
      </c>
      <c r="D29" s="454"/>
      <c r="E29" s="454"/>
      <c r="F29" s="454"/>
    </row>
    <row r="30" spans="1:7" x14ac:dyDescent="0.2">
      <c r="D30" s="245"/>
      <c r="E30" s="245"/>
    </row>
    <row r="31" spans="1:7" ht="15.75" x14ac:dyDescent="0.2">
      <c r="A31" s="238"/>
      <c r="B31" s="248" t="s">
        <v>157</v>
      </c>
      <c r="C31" s="249"/>
      <c r="D31" s="238"/>
      <c r="E31" s="238"/>
      <c r="F31" s="238"/>
    </row>
    <row r="32" spans="1:7" s="238" customFormat="1" ht="6.75" customHeight="1" x14ac:dyDescent="0.2">
      <c r="B32" s="248"/>
      <c r="C32" s="254"/>
    </row>
    <row r="33" spans="1:8" ht="50.25" customHeight="1" x14ac:dyDescent="0.2">
      <c r="C33" s="452" t="s">
        <v>323</v>
      </c>
      <c r="D33" s="452"/>
      <c r="E33" s="452"/>
      <c r="F33" s="452"/>
      <c r="G33" s="452"/>
      <c r="H33" s="250"/>
    </row>
    <row r="34" spans="1:8" x14ac:dyDescent="0.2">
      <c r="D34" s="251"/>
      <c r="E34" s="251"/>
    </row>
    <row r="35" spans="1:8" ht="15.75" x14ac:dyDescent="0.2">
      <c r="A35" s="238"/>
      <c r="B35" s="248" t="s">
        <v>158</v>
      </c>
      <c r="C35" s="249"/>
      <c r="D35" s="238"/>
      <c r="E35" s="238"/>
      <c r="F35" s="238"/>
    </row>
    <row r="36" spans="1:8" s="238" customFormat="1" ht="6.75" customHeight="1" x14ac:dyDescent="0.2">
      <c r="B36" s="248"/>
      <c r="C36" s="254"/>
    </row>
    <row r="37" spans="1:8" ht="78.75" customHeight="1" x14ac:dyDescent="0.2">
      <c r="C37" s="452" t="s">
        <v>307</v>
      </c>
      <c r="D37" s="452"/>
      <c r="E37" s="452"/>
      <c r="F37" s="452"/>
      <c r="G37" s="452"/>
    </row>
    <row r="38" spans="1:8" s="238" customFormat="1" ht="6.75" customHeight="1" x14ac:dyDescent="0.2">
      <c r="B38" s="248"/>
      <c r="C38" s="254"/>
    </row>
    <row r="39" spans="1:8" ht="66.75" customHeight="1" x14ac:dyDescent="0.2">
      <c r="C39" s="452" t="s">
        <v>324</v>
      </c>
      <c r="D39" s="452"/>
      <c r="E39" s="452"/>
      <c r="F39" s="452"/>
      <c r="G39" s="452"/>
    </row>
    <row r="40" spans="1:8" s="238" customFormat="1" ht="6.75" customHeight="1" x14ac:dyDescent="0.2">
      <c r="B40" s="248"/>
      <c r="C40" s="254"/>
    </row>
    <row r="41" spans="1:8" ht="38.25" customHeight="1" x14ac:dyDescent="0.2">
      <c r="C41" s="452" t="s">
        <v>317</v>
      </c>
      <c r="D41" s="452"/>
      <c r="E41" s="452"/>
      <c r="F41" s="452"/>
      <c r="G41" s="452"/>
    </row>
    <row r="42" spans="1:8" x14ac:dyDescent="0.2">
      <c r="D42" s="251"/>
      <c r="E42" s="251"/>
    </row>
    <row r="43" spans="1:8" s="238" customFormat="1" ht="15.75" x14ac:dyDescent="0.2">
      <c r="B43" s="248" t="s">
        <v>181</v>
      </c>
      <c r="C43" s="249"/>
    </row>
    <row r="44" spans="1:8" s="238" customFormat="1" ht="6.75" customHeight="1" x14ac:dyDescent="0.2">
      <c r="B44" s="248"/>
      <c r="C44" s="254"/>
    </row>
    <row r="45" spans="1:8" ht="38.25" customHeight="1" x14ac:dyDescent="0.2">
      <c r="C45" s="458" t="s">
        <v>308</v>
      </c>
      <c r="D45" s="458"/>
      <c r="E45" s="458"/>
      <c r="F45" s="458"/>
      <c r="G45" s="458"/>
    </row>
    <row r="46" spans="1:8" ht="4.5" customHeight="1" x14ac:dyDescent="0.2">
      <c r="C46" s="250"/>
      <c r="D46" s="250"/>
      <c r="E46" s="250"/>
      <c r="F46" s="250"/>
    </row>
    <row r="47" spans="1:8" ht="25.5" customHeight="1" x14ac:dyDescent="0.2">
      <c r="C47" s="226" t="s">
        <v>164</v>
      </c>
      <c r="D47" s="452" t="s">
        <v>176</v>
      </c>
      <c r="E47" s="452"/>
      <c r="F47" s="452"/>
      <c r="G47" s="452"/>
    </row>
    <row r="48" spans="1:8" ht="4.5" customHeight="1" x14ac:dyDescent="0.2">
      <c r="C48" s="226"/>
      <c r="D48" s="253"/>
      <c r="E48" s="253"/>
      <c r="F48" s="253"/>
    </row>
    <row r="49" spans="2:7" ht="25.5" customHeight="1" x14ac:dyDescent="0.2">
      <c r="C49" s="226" t="s">
        <v>165</v>
      </c>
      <c r="D49" s="452" t="s">
        <v>177</v>
      </c>
      <c r="E49" s="452"/>
      <c r="F49" s="452"/>
      <c r="G49" s="452"/>
    </row>
    <row r="50" spans="2:7" ht="4.5" customHeight="1" x14ac:dyDescent="0.2">
      <c r="C50" s="226"/>
      <c r="D50" s="253"/>
      <c r="E50" s="253"/>
      <c r="F50" s="253"/>
    </row>
    <row r="51" spans="2:7" ht="25.5" customHeight="1" x14ac:dyDescent="0.2">
      <c r="C51" s="226" t="s">
        <v>166</v>
      </c>
      <c r="D51" s="452" t="s">
        <v>178</v>
      </c>
      <c r="E51" s="452"/>
      <c r="F51" s="452"/>
      <c r="G51" s="452"/>
    </row>
    <row r="52" spans="2:7" x14ac:dyDescent="0.2">
      <c r="D52" s="253"/>
      <c r="E52" s="253"/>
    </row>
    <row r="53" spans="2:7" ht="51" customHeight="1" x14ac:dyDescent="0.2">
      <c r="C53" s="452" t="s">
        <v>182</v>
      </c>
      <c r="D53" s="452"/>
      <c r="E53" s="452"/>
      <c r="F53" s="452"/>
      <c r="G53" s="452"/>
    </row>
    <row r="54" spans="2:7" x14ac:dyDescent="0.2">
      <c r="D54" s="253"/>
      <c r="E54" s="253"/>
    </row>
    <row r="55" spans="2:7" s="238" customFormat="1" ht="15.75" x14ac:dyDescent="0.2">
      <c r="B55" s="248" t="s">
        <v>159</v>
      </c>
      <c r="C55" s="254"/>
    </row>
    <row r="56" spans="2:7" s="238" customFormat="1" ht="6.75" customHeight="1" x14ac:dyDescent="0.2">
      <c r="B56" s="248"/>
      <c r="C56" s="254"/>
    </row>
    <row r="57" spans="2:7" ht="38.25" customHeight="1" x14ac:dyDescent="0.2">
      <c r="C57" s="452" t="s">
        <v>195</v>
      </c>
      <c r="D57" s="452"/>
      <c r="E57" s="452"/>
      <c r="F57" s="452"/>
      <c r="G57" s="452"/>
    </row>
    <row r="58" spans="2:7" x14ac:dyDescent="0.2">
      <c r="D58" s="253"/>
      <c r="E58" s="253"/>
      <c r="F58" s="253"/>
    </row>
    <row r="59" spans="2:7" ht="63.75" customHeight="1" x14ac:dyDescent="0.2">
      <c r="C59" s="452" t="s">
        <v>188</v>
      </c>
      <c r="D59" s="452"/>
      <c r="E59" s="452"/>
      <c r="F59" s="452"/>
      <c r="G59" s="452"/>
    </row>
    <row r="60" spans="2:7" x14ac:dyDescent="0.2">
      <c r="D60" s="253"/>
      <c r="E60" s="253"/>
      <c r="F60" s="253"/>
    </row>
    <row r="61" spans="2:7" x14ac:dyDescent="0.2">
      <c r="C61" s="452" t="s">
        <v>175</v>
      </c>
      <c r="D61" s="452"/>
      <c r="E61" s="452"/>
      <c r="F61" s="452"/>
    </row>
    <row r="62" spans="2:7" ht="4.5" customHeight="1" x14ac:dyDescent="0.2">
      <c r="C62" s="253"/>
      <c r="D62" s="253"/>
      <c r="E62" s="253"/>
      <c r="F62" s="253"/>
    </row>
    <row r="63" spans="2:7" ht="25.5" customHeight="1" x14ac:dyDescent="0.2">
      <c r="C63" s="226" t="s">
        <v>164</v>
      </c>
      <c r="D63" s="452" t="s">
        <v>196</v>
      </c>
      <c r="E63" s="452"/>
      <c r="F63" s="452"/>
      <c r="G63" s="452"/>
    </row>
    <row r="64" spans="2:7" ht="4.5" customHeight="1" x14ac:dyDescent="0.2">
      <c r="C64" s="226"/>
      <c r="D64" s="253"/>
      <c r="E64" s="253"/>
      <c r="F64" s="253"/>
    </row>
    <row r="65" spans="1:7" ht="27.75" customHeight="1" x14ac:dyDescent="0.2">
      <c r="C65" s="226" t="s">
        <v>165</v>
      </c>
      <c r="D65" s="452" t="s">
        <v>197</v>
      </c>
      <c r="E65" s="452"/>
      <c r="F65" s="452"/>
      <c r="G65" s="452"/>
    </row>
    <row r="66" spans="1:7" ht="4.5" customHeight="1" x14ac:dyDescent="0.2">
      <c r="C66" s="226"/>
      <c r="D66" s="253"/>
      <c r="E66" s="253"/>
      <c r="F66" s="253"/>
    </row>
    <row r="67" spans="1:7" ht="38.25" customHeight="1" x14ac:dyDescent="0.2">
      <c r="C67" s="226" t="s">
        <v>166</v>
      </c>
      <c r="D67" s="452" t="s">
        <v>315</v>
      </c>
      <c r="E67" s="452"/>
      <c r="F67" s="452"/>
      <c r="G67" s="452"/>
    </row>
    <row r="68" spans="1:7" ht="13.5" customHeight="1" x14ac:dyDescent="0.2">
      <c r="C68" s="226"/>
      <c r="D68" s="447" t="s">
        <v>316</v>
      </c>
      <c r="E68" s="447"/>
      <c r="F68" s="253"/>
    </row>
    <row r="69" spans="1:7" ht="3.75" customHeight="1" x14ac:dyDescent="0.2">
      <c r="C69" s="226"/>
      <c r="D69" s="447"/>
      <c r="E69" s="447"/>
      <c r="F69" s="253"/>
    </row>
    <row r="70" spans="1:7" ht="32.25" customHeight="1" x14ac:dyDescent="0.2">
      <c r="C70" s="226" t="s">
        <v>179</v>
      </c>
      <c r="D70" s="452" t="s">
        <v>198</v>
      </c>
      <c r="E70" s="452"/>
      <c r="F70" s="452"/>
      <c r="G70" s="452"/>
    </row>
    <row r="71" spans="1:7" ht="12" customHeight="1" x14ac:dyDescent="0.2">
      <c r="D71" s="253"/>
      <c r="E71" s="253"/>
    </row>
    <row r="72" spans="1:7" s="238" customFormat="1" ht="15.75" x14ac:dyDescent="0.2">
      <c r="B72" s="248" t="s">
        <v>194</v>
      </c>
      <c r="C72" s="249"/>
    </row>
    <row r="73" spans="1:7" s="238" customFormat="1" ht="6.75" customHeight="1" x14ac:dyDescent="0.2">
      <c r="B73" s="248"/>
      <c r="C73" s="254"/>
    </row>
    <row r="74" spans="1:7" ht="38.25" customHeight="1" x14ac:dyDescent="0.2">
      <c r="C74" s="458" t="s">
        <v>191</v>
      </c>
      <c r="D74" s="458"/>
      <c r="E74" s="458"/>
      <c r="F74" s="458"/>
      <c r="G74" s="458"/>
    </row>
    <row r="75" spans="1:7" x14ac:dyDescent="0.2">
      <c r="D75" s="252"/>
      <c r="E75" s="252"/>
    </row>
    <row r="76" spans="1:7" x14ac:dyDescent="0.2">
      <c r="C76" s="452" t="s">
        <v>309</v>
      </c>
      <c r="D76" s="452"/>
      <c r="E76" s="452"/>
      <c r="F76" s="452"/>
    </row>
    <row r="77" spans="1:7" x14ac:dyDescent="0.2">
      <c r="C77" s="459" t="s">
        <v>310</v>
      </c>
      <c r="D77" s="459"/>
      <c r="E77" s="459"/>
      <c r="F77" s="459"/>
      <c r="G77" s="246"/>
    </row>
    <row r="78" spans="1:7" x14ac:dyDescent="0.2">
      <c r="D78" s="250"/>
      <c r="E78" s="250"/>
    </row>
    <row r="79" spans="1:7" ht="15.75" x14ac:dyDescent="0.2">
      <c r="A79" s="238"/>
      <c r="B79" s="248" t="s">
        <v>160</v>
      </c>
      <c r="C79" s="249"/>
      <c r="D79" s="255"/>
      <c r="E79" s="255"/>
      <c r="F79" s="238"/>
    </row>
    <row r="80" spans="1:7" x14ac:dyDescent="0.2">
      <c r="B80" s="256"/>
      <c r="C80" s="236" t="s">
        <v>314</v>
      </c>
    </row>
    <row r="81" spans="1:6" x14ac:dyDescent="0.2">
      <c r="B81" s="256"/>
      <c r="C81" s="256"/>
      <c r="D81" s="457" t="s">
        <v>325</v>
      </c>
      <c r="E81" s="457"/>
      <c r="F81" s="457"/>
    </row>
    <row r="82" spans="1:6" x14ac:dyDescent="0.2">
      <c r="B82" s="256"/>
      <c r="C82" s="445"/>
      <c r="D82" s="446"/>
      <c r="E82" s="446"/>
      <c r="F82" s="446"/>
    </row>
    <row r="83" spans="1:6" x14ac:dyDescent="0.2">
      <c r="C83" s="236" t="s">
        <v>312</v>
      </c>
    </row>
    <row r="84" spans="1:6" x14ac:dyDescent="0.2">
      <c r="D84" s="457" t="s">
        <v>311</v>
      </c>
      <c r="E84" s="457"/>
      <c r="F84" s="457"/>
    </row>
    <row r="85" spans="1:6" ht="14.25" x14ac:dyDescent="0.2">
      <c r="A85" s="238"/>
      <c r="B85" s="238"/>
      <c r="C85" s="238"/>
      <c r="D85" s="238"/>
      <c r="E85" s="238"/>
      <c r="F85" s="238"/>
    </row>
    <row r="102" spans="4:5" s="238" customFormat="1" ht="14.25" x14ac:dyDescent="0.2"/>
    <row r="103" spans="4:5" s="238" customFormat="1" ht="14.25" x14ac:dyDescent="0.2">
      <c r="D103" s="257"/>
      <c r="E103" s="257"/>
    </row>
    <row r="104" spans="4:5" s="238" customFormat="1" ht="14.25" x14ac:dyDescent="0.2">
      <c r="D104" s="257"/>
      <c r="E104" s="257"/>
    </row>
    <row r="105" spans="4:5" s="238" customFormat="1" ht="14.25" x14ac:dyDescent="0.2">
      <c r="D105" s="257"/>
      <c r="E105" s="257"/>
    </row>
    <row r="106" spans="4:5" s="238" customFormat="1" ht="14.25" x14ac:dyDescent="0.2">
      <c r="D106" s="257"/>
      <c r="E106" s="257"/>
    </row>
    <row r="107" spans="4:5" s="238" customFormat="1" ht="14.25" x14ac:dyDescent="0.2">
      <c r="D107" s="257"/>
      <c r="E107" s="257"/>
    </row>
    <row r="108" spans="4:5" s="238" customFormat="1" ht="14.25" x14ac:dyDescent="0.2">
      <c r="D108" s="257"/>
      <c r="E108" s="257"/>
    </row>
    <row r="109" spans="4:5" s="238" customFormat="1" ht="14.25" x14ac:dyDescent="0.2">
      <c r="D109" s="257"/>
      <c r="E109" s="257"/>
    </row>
    <row r="110" spans="4:5" s="238" customFormat="1" ht="14.25" x14ac:dyDescent="0.2">
      <c r="D110" s="257"/>
      <c r="E110" s="257"/>
    </row>
    <row r="111" spans="4:5" s="238" customFormat="1" ht="14.25" x14ac:dyDescent="0.2">
      <c r="D111" s="257"/>
      <c r="E111" s="257"/>
    </row>
    <row r="112" spans="4:5" s="238" customFormat="1" ht="14.25" x14ac:dyDescent="0.2">
      <c r="D112" s="257"/>
      <c r="E112" s="257"/>
    </row>
    <row r="113" spans="4:5" s="238" customFormat="1" ht="14.25" x14ac:dyDescent="0.2">
      <c r="D113" s="257"/>
      <c r="E113" s="257"/>
    </row>
    <row r="114" spans="4:5" s="238" customFormat="1" ht="14.25" x14ac:dyDescent="0.2">
      <c r="D114" s="257"/>
      <c r="E114" s="257"/>
    </row>
    <row r="115" spans="4:5" s="238" customFormat="1" ht="14.25" x14ac:dyDescent="0.2">
      <c r="D115" s="257"/>
      <c r="E115" s="257"/>
    </row>
    <row r="116" spans="4:5" s="238" customFormat="1" ht="14.25" x14ac:dyDescent="0.2">
      <c r="D116" s="257"/>
      <c r="E116" s="257"/>
    </row>
    <row r="117" spans="4:5" s="238" customFormat="1" ht="14.25" x14ac:dyDescent="0.2">
      <c r="D117" s="257"/>
      <c r="E117" s="257"/>
    </row>
    <row r="118" spans="4:5" s="238" customFormat="1" ht="14.25" x14ac:dyDescent="0.2">
      <c r="D118" s="257"/>
      <c r="E118" s="257"/>
    </row>
    <row r="119" spans="4:5" s="238" customFormat="1" ht="14.25" x14ac:dyDescent="0.2">
      <c r="D119" s="257"/>
      <c r="E119" s="257"/>
    </row>
    <row r="120" spans="4:5" s="238" customFormat="1" ht="14.25" x14ac:dyDescent="0.2">
      <c r="D120" s="257"/>
      <c r="E120" s="257"/>
    </row>
    <row r="121" spans="4:5" s="238" customFormat="1" ht="14.25" x14ac:dyDescent="0.2">
      <c r="D121" s="257"/>
      <c r="E121" s="257"/>
    </row>
    <row r="122" spans="4:5" s="238" customFormat="1" ht="14.25" x14ac:dyDescent="0.2">
      <c r="D122" s="257"/>
      <c r="E122" s="257"/>
    </row>
    <row r="123" spans="4:5" s="238" customFormat="1" ht="14.25" x14ac:dyDescent="0.2">
      <c r="D123" s="257"/>
      <c r="E123" s="257"/>
    </row>
    <row r="124" spans="4:5" s="238" customFormat="1" ht="14.25" x14ac:dyDescent="0.2">
      <c r="D124" s="257"/>
      <c r="E124" s="257"/>
    </row>
    <row r="125" spans="4:5" s="238" customFormat="1" ht="14.25" x14ac:dyDescent="0.2">
      <c r="D125" s="257"/>
      <c r="E125" s="257"/>
    </row>
    <row r="126" spans="4:5" s="238" customFormat="1" ht="14.25" x14ac:dyDescent="0.2">
      <c r="D126" s="257"/>
      <c r="E126" s="257"/>
    </row>
    <row r="127" spans="4:5" s="238" customFormat="1" ht="14.25" x14ac:dyDescent="0.2">
      <c r="D127" s="257"/>
      <c r="E127" s="257"/>
    </row>
    <row r="128" spans="4:5" s="238" customFormat="1" ht="14.25" x14ac:dyDescent="0.2">
      <c r="D128" s="257"/>
      <c r="E128" s="257"/>
    </row>
    <row r="129" spans="4:5" s="238" customFormat="1" ht="14.25" x14ac:dyDescent="0.2">
      <c r="D129" s="257"/>
      <c r="E129" s="257"/>
    </row>
    <row r="130" spans="4:5" s="238" customFormat="1" ht="14.25" x14ac:dyDescent="0.2">
      <c r="D130" s="257"/>
      <c r="E130" s="257"/>
    </row>
    <row r="131" spans="4:5" s="238" customFormat="1" ht="14.25" x14ac:dyDescent="0.2">
      <c r="D131" s="257"/>
      <c r="E131" s="257"/>
    </row>
    <row r="132" spans="4:5" s="238" customFormat="1" ht="14.25" x14ac:dyDescent="0.2">
      <c r="D132" s="257"/>
      <c r="E132" s="257"/>
    </row>
    <row r="133" spans="4:5" s="238" customFormat="1" ht="14.25" x14ac:dyDescent="0.2">
      <c r="D133" s="257"/>
      <c r="E133" s="257"/>
    </row>
    <row r="134" spans="4:5" s="238" customFormat="1" ht="14.25" x14ac:dyDescent="0.2">
      <c r="D134" s="257"/>
      <c r="E134" s="257"/>
    </row>
    <row r="135" spans="4:5" s="238" customFormat="1" ht="14.25" x14ac:dyDescent="0.2">
      <c r="D135" s="257"/>
      <c r="E135" s="257"/>
    </row>
    <row r="136" spans="4:5" s="238" customFormat="1" ht="14.25" x14ac:dyDescent="0.2">
      <c r="D136" s="257"/>
      <c r="E136" s="257"/>
    </row>
    <row r="137" spans="4:5" s="238" customFormat="1" ht="14.25" x14ac:dyDescent="0.2">
      <c r="D137" s="257"/>
      <c r="E137" s="257"/>
    </row>
    <row r="138" spans="4:5" s="238" customFormat="1" ht="14.25" x14ac:dyDescent="0.2">
      <c r="D138" s="257"/>
      <c r="E138" s="257"/>
    </row>
    <row r="139" spans="4:5" s="238" customFormat="1" ht="14.25" x14ac:dyDescent="0.2">
      <c r="D139" s="257"/>
      <c r="E139" s="257"/>
    </row>
    <row r="140" spans="4:5" s="238" customFormat="1" ht="14.25" x14ac:dyDescent="0.2">
      <c r="D140" s="257"/>
      <c r="E140" s="257"/>
    </row>
    <row r="141" spans="4:5" s="238" customFormat="1" ht="14.25" x14ac:dyDescent="0.2">
      <c r="D141" s="257"/>
      <c r="E141" s="257"/>
    </row>
    <row r="142" spans="4:5" s="238" customFormat="1" ht="14.25" x14ac:dyDescent="0.2">
      <c r="D142" s="257"/>
      <c r="E142" s="257"/>
    </row>
    <row r="143" spans="4:5" s="238" customFormat="1" ht="14.25" x14ac:dyDescent="0.2">
      <c r="D143" s="257"/>
      <c r="E143" s="257"/>
    </row>
    <row r="144" spans="4:5" s="238" customFormat="1" ht="14.25" x14ac:dyDescent="0.2">
      <c r="D144" s="257"/>
      <c r="E144" s="257"/>
    </row>
    <row r="145" spans="4:5" s="238" customFormat="1" ht="14.25" x14ac:dyDescent="0.2">
      <c r="D145" s="257"/>
      <c r="E145" s="257"/>
    </row>
    <row r="146" spans="4:5" s="238" customFormat="1" ht="14.25" x14ac:dyDescent="0.2">
      <c r="D146" s="257"/>
      <c r="E146" s="257"/>
    </row>
    <row r="147" spans="4:5" s="238" customFormat="1" ht="14.25" x14ac:dyDescent="0.2">
      <c r="D147" s="257"/>
      <c r="E147" s="257"/>
    </row>
    <row r="148" spans="4:5" s="238" customFormat="1" ht="14.25" x14ac:dyDescent="0.2">
      <c r="D148" s="257"/>
      <c r="E148" s="257"/>
    </row>
    <row r="149" spans="4:5" s="238" customFormat="1" ht="14.25" x14ac:dyDescent="0.2">
      <c r="D149" s="257"/>
      <c r="E149" s="257"/>
    </row>
    <row r="150" spans="4:5" s="238" customFormat="1" ht="14.25" x14ac:dyDescent="0.2">
      <c r="D150" s="257"/>
      <c r="E150" s="257"/>
    </row>
    <row r="151" spans="4:5" s="238" customFormat="1" ht="14.25" x14ac:dyDescent="0.2">
      <c r="D151" s="257"/>
      <c r="E151" s="257"/>
    </row>
    <row r="152" spans="4:5" s="238" customFormat="1" ht="14.25" x14ac:dyDescent="0.2">
      <c r="D152" s="257"/>
      <c r="E152" s="257"/>
    </row>
    <row r="153" spans="4:5" s="238" customFormat="1" ht="14.25" x14ac:dyDescent="0.2">
      <c r="D153" s="257"/>
      <c r="E153" s="257"/>
    </row>
    <row r="154" spans="4:5" s="238" customFormat="1" ht="14.25" x14ac:dyDescent="0.2">
      <c r="D154" s="257"/>
      <c r="E154" s="257"/>
    </row>
    <row r="155" spans="4:5" s="238" customFormat="1" ht="14.25" x14ac:dyDescent="0.2">
      <c r="D155" s="257"/>
      <c r="E155" s="257"/>
    </row>
    <row r="156" spans="4:5" s="238" customFormat="1" ht="14.25" x14ac:dyDescent="0.2">
      <c r="D156" s="257"/>
      <c r="E156" s="257"/>
    </row>
    <row r="157" spans="4:5" s="238" customFormat="1" ht="14.25" x14ac:dyDescent="0.2">
      <c r="D157" s="257"/>
      <c r="E157" s="257"/>
    </row>
    <row r="158" spans="4:5" s="238" customFormat="1" ht="14.25" x14ac:dyDescent="0.2">
      <c r="D158" s="257"/>
      <c r="E158" s="257"/>
    </row>
    <row r="159" spans="4:5" s="238" customFormat="1" ht="14.25" x14ac:dyDescent="0.2">
      <c r="D159" s="257"/>
      <c r="E159" s="257"/>
    </row>
    <row r="160" spans="4:5" s="238" customFormat="1" ht="14.25" x14ac:dyDescent="0.2">
      <c r="D160" s="257"/>
      <c r="E160" s="257"/>
    </row>
    <row r="161" spans="4:5" s="238" customFormat="1" ht="14.25" x14ac:dyDescent="0.2">
      <c r="D161" s="257"/>
      <c r="E161" s="257"/>
    </row>
    <row r="162" spans="4:5" s="238" customFormat="1" ht="14.25" x14ac:dyDescent="0.2">
      <c r="D162" s="257"/>
      <c r="E162" s="257"/>
    </row>
    <row r="163" spans="4:5" s="238" customFormat="1" ht="14.25" x14ac:dyDescent="0.2">
      <c r="D163" s="257"/>
      <c r="E163" s="257"/>
    </row>
    <row r="164" spans="4:5" s="238" customFormat="1" ht="14.25" x14ac:dyDescent="0.2">
      <c r="D164" s="257"/>
      <c r="E164" s="257"/>
    </row>
    <row r="165" spans="4:5" s="238" customFormat="1" ht="14.25" x14ac:dyDescent="0.2">
      <c r="D165" s="257"/>
      <c r="E165" s="257"/>
    </row>
    <row r="166" spans="4:5" s="238" customFormat="1" ht="14.25" x14ac:dyDescent="0.2">
      <c r="D166" s="257"/>
      <c r="E166" s="257"/>
    </row>
    <row r="167" spans="4:5" s="238" customFormat="1" ht="14.25" x14ac:dyDescent="0.2">
      <c r="D167" s="257"/>
      <c r="E167" s="257"/>
    </row>
    <row r="168" spans="4:5" s="238" customFormat="1" ht="14.25" x14ac:dyDescent="0.2">
      <c r="D168" s="257"/>
      <c r="E168" s="257"/>
    </row>
    <row r="169" spans="4:5" s="238" customFormat="1" ht="14.25" x14ac:dyDescent="0.2">
      <c r="D169" s="257"/>
      <c r="E169" s="257"/>
    </row>
    <row r="170" spans="4:5" s="238" customFormat="1" ht="14.25" x14ac:dyDescent="0.2">
      <c r="D170" s="257"/>
      <c r="E170" s="257"/>
    </row>
    <row r="171" spans="4:5" s="238" customFormat="1" ht="14.25" x14ac:dyDescent="0.2">
      <c r="D171" s="257"/>
      <c r="E171" s="257"/>
    </row>
    <row r="172" spans="4:5" s="238" customFormat="1" ht="14.25" x14ac:dyDescent="0.2">
      <c r="D172" s="257"/>
      <c r="E172" s="257"/>
    </row>
    <row r="173" spans="4:5" s="238" customFormat="1" ht="14.25" x14ac:dyDescent="0.2">
      <c r="D173" s="257"/>
      <c r="E173" s="257"/>
    </row>
    <row r="174" spans="4:5" s="238" customFormat="1" ht="14.25" x14ac:dyDescent="0.2">
      <c r="D174" s="257"/>
      <c r="E174" s="257"/>
    </row>
    <row r="175" spans="4:5" s="238" customFormat="1" ht="14.25" x14ac:dyDescent="0.2">
      <c r="D175" s="257"/>
      <c r="E175" s="257"/>
    </row>
    <row r="176" spans="4:5" s="238" customFormat="1" ht="14.25" x14ac:dyDescent="0.2">
      <c r="D176" s="257"/>
      <c r="E176" s="257"/>
    </row>
    <row r="177" spans="4:5" s="238" customFormat="1" ht="14.25" x14ac:dyDescent="0.2">
      <c r="D177" s="257"/>
      <c r="E177" s="257"/>
    </row>
    <row r="178" spans="4:5" s="238" customFormat="1" ht="14.25" x14ac:dyDescent="0.2">
      <c r="D178" s="257"/>
      <c r="E178" s="257"/>
    </row>
    <row r="179" spans="4:5" s="238" customFormat="1" ht="14.25" x14ac:dyDescent="0.2">
      <c r="D179" s="257"/>
      <c r="E179" s="257"/>
    </row>
    <row r="180" spans="4:5" s="238" customFormat="1" ht="14.25" x14ac:dyDescent="0.2">
      <c r="D180" s="257"/>
      <c r="E180" s="257"/>
    </row>
    <row r="181" spans="4:5" s="238" customFormat="1" ht="14.25" x14ac:dyDescent="0.2">
      <c r="D181" s="257"/>
      <c r="E181" s="257"/>
    </row>
    <row r="182" spans="4:5" s="238" customFormat="1" ht="14.25" x14ac:dyDescent="0.2">
      <c r="D182" s="257"/>
      <c r="E182" s="257"/>
    </row>
    <row r="183" spans="4:5" s="238" customFormat="1" ht="14.25" x14ac:dyDescent="0.2">
      <c r="D183" s="257"/>
      <c r="E183" s="257"/>
    </row>
    <row r="184" spans="4:5" s="238" customFormat="1" ht="14.25" x14ac:dyDescent="0.2">
      <c r="D184" s="257"/>
      <c r="E184" s="257"/>
    </row>
    <row r="185" spans="4:5" s="238" customFormat="1" ht="14.25" x14ac:dyDescent="0.2">
      <c r="D185" s="257"/>
      <c r="E185" s="257"/>
    </row>
    <row r="186" spans="4:5" s="238" customFormat="1" ht="14.25" x14ac:dyDescent="0.2">
      <c r="D186" s="257"/>
      <c r="E186" s="257"/>
    </row>
    <row r="187" spans="4:5" s="238" customFormat="1" ht="14.25" x14ac:dyDescent="0.2">
      <c r="D187" s="257"/>
      <c r="E187" s="257"/>
    </row>
    <row r="188" spans="4:5" s="238" customFormat="1" ht="14.25" x14ac:dyDescent="0.2">
      <c r="D188" s="257"/>
      <c r="E188" s="257"/>
    </row>
    <row r="189" spans="4:5" s="238" customFormat="1" ht="14.25" x14ac:dyDescent="0.2">
      <c r="D189" s="257"/>
      <c r="E189" s="257"/>
    </row>
    <row r="190" spans="4:5" s="238" customFormat="1" ht="14.25" x14ac:dyDescent="0.2">
      <c r="D190" s="257"/>
      <c r="E190" s="257"/>
    </row>
    <row r="191" spans="4:5" s="238" customFormat="1" ht="14.25" x14ac:dyDescent="0.2">
      <c r="D191" s="257"/>
      <c r="E191" s="257"/>
    </row>
    <row r="192" spans="4:5" s="238" customFormat="1" ht="14.25" x14ac:dyDescent="0.2">
      <c r="D192" s="257"/>
      <c r="E192" s="257"/>
    </row>
    <row r="193" spans="4:5" s="238" customFormat="1" ht="14.25" x14ac:dyDescent="0.2">
      <c r="D193" s="257"/>
      <c r="E193" s="257"/>
    </row>
    <row r="194" spans="4:5" s="238" customFormat="1" ht="14.25" x14ac:dyDescent="0.2">
      <c r="D194" s="257"/>
      <c r="E194" s="257"/>
    </row>
    <row r="195" spans="4:5" s="238" customFormat="1" ht="14.25" x14ac:dyDescent="0.2">
      <c r="D195" s="257"/>
      <c r="E195" s="257"/>
    </row>
    <row r="196" spans="4:5" s="238" customFormat="1" ht="14.25" x14ac:dyDescent="0.2">
      <c r="D196" s="257"/>
      <c r="E196" s="257"/>
    </row>
    <row r="197" spans="4:5" s="238" customFormat="1" ht="14.25" x14ac:dyDescent="0.2">
      <c r="D197" s="257"/>
      <c r="E197" s="257"/>
    </row>
    <row r="198" spans="4:5" s="238" customFormat="1" ht="14.25" x14ac:dyDescent="0.2">
      <c r="D198" s="257"/>
      <c r="E198" s="257"/>
    </row>
    <row r="199" spans="4:5" s="238" customFormat="1" ht="14.25" x14ac:dyDescent="0.2">
      <c r="D199" s="257"/>
      <c r="E199" s="257"/>
    </row>
    <row r="200" spans="4:5" s="238" customFormat="1" ht="14.25" x14ac:dyDescent="0.2">
      <c r="D200" s="257"/>
      <c r="E200" s="257"/>
    </row>
    <row r="201" spans="4:5" s="238" customFormat="1" ht="14.25" x14ac:dyDescent="0.2">
      <c r="D201" s="257"/>
      <c r="E201" s="257"/>
    </row>
    <row r="202" spans="4:5" s="238" customFormat="1" ht="14.25" x14ac:dyDescent="0.2">
      <c r="D202" s="257"/>
      <c r="E202" s="257"/>
    </row>
    <row r="203" spans="4:5" s="238" customFormat="1" ht="14.25" x14ac:dyDescent="0.2">
      <c r="D203" s="257"/>
      <c r="E203" s="257"/>
    </row>
    <row r="204" spans="4:5" s="238" customFormat="1" ht="14.25" x14ac:dyDescent="0.2">
      <c r="D204" s="257"/>
      <c r="E204" s="257"/>
    </row>
    <row r="205" spans="4:5" s="238" customFormat="1" ht="14.25" x14ac:dyDescent="0.2">
      <c r="D205" s="257"/>
      <c r="E205" s="257"/>
    </row>
    <row r="206" spans="4:5" s="238" customFormat="1" ht="14.25" x14ac:dyDescent="0.2">
      <c r="D206" s="257"/>
      <c r="E206" s="257"/>
    </row>
    <row r="207" spans="4:5" s="238" customFormat="1" ht="14.25" x14ac:dyDescent="0.2">
      <c r="D207" s="257"/>
      <c r="E207" s="257"/>
    </row>
    <row r="208" spans="4:5" s="238" customFormat="1" ht="14.25" x14ac:dyDescent="0.2">
      <c r="D208" s="257"/>
      <c r="E208" s="257"/>
    </row>
    <row r="209" spans="4:5" s="238" customFormat="1" ht="14.25" x14ac:dyDescent="0.2">
      <c r="D209" s="257"/>
      <c r="E209" s="257"/>
    </row>
    <row r="210" spans="4:5" s="238" customFormat="1" ht="14.25" x14ac:dyDescent="0.2">
      <c r="D210" s="257"/>
      <c r="E210" s="257"/>
    </row>
    <row r="211" spans="4:5" s="238" customFormat="1" ht="14.25" x14ac:dyDescent="0.2">
      <c r="D211" s="257"/>
      <c r="E211" s="257"/>
    </row>
    <row r="212" spans="4:5" s="238" customFormat="1" ht="14.25" x14ac:dyDescent="0.2">
      <c r="D212" s="257"/>
      <c r="E212" s="257"/>
    </row>
    <row r="213" spans="4:5" s="238" customFormat="1" ht="14.25" x14ac:dyDescent="0.2">
      <c r="D213" s="257"/>
      <c r="E213" s="257"/>
    </row>
    <row r="214" spans="4:5" s="238" customFormat="1" ht="14.25" x14ac:dyDescent="0.2">
      <c r="D214" s="257"/>
      <c r="E214" s="257"/>
    </row>
    <row r="215" spans="4:5" s="238" customFormat="1" ht="14.25" x14ac:dyDescent="0.2">
      <c r="D215" s="257"/>
      <c r="E215" s="257"/>
    </row>
    <row r="216" spans="4:5" s="238" customFormat="1" ht="14.25" x14ac:dyDescent="0.2">
      <c r="D216" s="257"/>
      <c r="E216" s="257"/>
    </row>
    <row r="217" spans="4:5" s="238" customFormat="1" ht="14.25" x14ac:dyDescent="0.2">
      <c r="D217" s="257"/>
      <c r="E217" s="257"/>
    </row>
    <row r="218" spans="4:5" s="238" customFormat="1" ht="14.25" x14ac:dyDescent="0.2">
      <c r="D218" s="257"/>
      <c r="E218" s="257"/>
    </row>
    <row r="219" spans="4:5" s="238" customFormat="1" ht="14.25" x14ac:dyDescent="0.2">
      <c r="D219" s="257"/>
      <c r="E219" s="257"/>
    </row>
    <row r="220" spans="4:5" s="238" customFormat="1" ht="14.25" x14ac:dyDescent="0.2">
      <c r="D220" s="257"/>
      <c r="E220" s="257"/>
    </row>
    <row r="221" spans="4:5" s="238" customFormat="1" ht="14.25" x14ac:dyDescent="0.2">
      <c r="D221" s="257"/>
      <c r="E221" s="257"/>
    </row>
    <row r="222" spans="4:5" s="238" customFormat="1" ht="14.25" x14ac:dyDescent="0.2">
      <c r="D222" s="257"/>
      <c r="E222" s="257"/>
    </row>
    <row r="223" spans="4:5" s="238" customFormat="1" ht="14.25" x14ac:dyDescent="0.2">
      <c r="D223" s="257"/>
      <c r="E223" s="257"/>
    </row>
    <row r="224" spans="4:5" s="238" customFormat="1" ht="14.25" x14ac:dyDescent="0.2">
      <c r="D224" s="257"/>
      <c r="E224" s="257"/>
    </row>
    <row r="225" spans="4:5" s="238" customFormat="1" ht="14.25" x14ac:dyDescent="0.2">
      <c r="D225" s="257"/>
      <c r="E225" s="257"/>
    </row>
    <row r="226" spans="4:5" s="238" customFormat="1" ht="14.25" x14ac:dyDescent="0.2">
      <c r="D226" s="257"/>
      <c r="E226" s="257"/>
    </row>
    <row r="227" spans="4:5" s="238" customFormat="1" ht="14.25" x14ac:dyDescent="0.2">
      <c r="D227" s="257"/>
      <c r="E227" s="257"/>
    </row>
    <row r="228" spans="4:5" s="238" customFormat="1" ht="14.25" x14ac:dyDescent="0.2">
      <c r="D228" s="257"/>
      <c r="E228" s="257"/>
    </row>
    <row r="229" spans="4:5" s="238" customFormat="1" ht="14.25" x14ac:dyDescent="0.2">
      <c r="D229" s="257"/>
      <c r="E229" s="257"/>
    </row>
    <row r="230" spans="4:5" s="238" customFormat="1" ht="14.25" x14ac:dyDescent="0.2">
      <c r="D230" s="257"/>
      <c r="E230" s="257"/>
    </row>
    <row r="231" spans="4:5" s="238" customFormat="1" ht="14.25" x14ac:dyDescent="0.2">
      <c r="D231" s="257"/>
      <c r="E231" s="257"/>
    </row>
    <row r="232" spans="4:5" s="238" customFormat="1" ht="14.25" x14ac:dyDescent="0.2">
      <c r="D232" s="257"/>
      <c r="E232" s="257"/>
    </row>
    <row r="233" spans="4:5" s="238" customFormat="1" ht="14.25" x14ac:dyDescent="0.2">
      <c r="D233" s="257"/>
      <c r="E233" s="257"/>
    </row>
    <row r="234" spans="4:5" s="238" customFormat="1" ht="14.25" x14ac:dyDescent="0.2">
      <c r="D234" s="257"/>
      <c r="E234" s="257"/>
    </row>
    <row r="235" spans="4:5" s="238" customFormat="1" ht="14.25" x14ac:dyDescent="0.2">
      <c r="D235" s="257"/>
      <c r="E235" s="257"/>
    </row>
    <row r="236" spans="4:5" s="238" customFormat="1" ht="14.25" x14ac:dyDescent="0.2">
      <c r="D236" s="257"/>
      <c r="E236" s="257"/>
    </row>
    <row r="237" spans="4:5" s="238" customFormat="1" ht="14.25" x14ac:dyDescent="0.2">
      <c r="D237" s="257"/>
      <c r="E237" s="257"/>
    </row>
    <row r="238" spans="4:5" s="238" customFormat="1" ht="14.25" x14ac:dyDescent="0.2">
      <c r="D238" s="257"/>
      <c r="E238" s="257"/>
    </row>
    <row r="239" spans="4:5" s="238" customFormat="1" ht="14.25" x14ac:dyDescent="0.2">
      <c r="D239" s="257"/>
      <c r="E239" s="257"/>
    </row>
    <row r="240" spans="4:5" s="238" customFormat="1" ht="14.25" x14ac:dyDescent="0.2">
      <c r="D240" s="257"/>
      <c r="E240" s="257"/>
    </row>
    <row r="241" spans="4:5" s="238" customFormat="1" ht="14.25" x14ac:dyDescent="0.2">
      <c r="D241" s="257"/>
      <c r="E241" s="257"/>
    </row>
    <row r="242" spans="4:5" s="238" customFormat="1" ht="14.25" x14ac:dyDescent="0.2">
      <c r="D242" s="257"/>
      <c r="E242" s="257"/>
    </row>
    <row r="243" spans="4:5" s="238" customFormat="1" ht="14.25" x14ac:dyDescent="0.2">
      <c r="D243" s="257"/>
      <c r="E243" s="257"/>
    </row>
    <row r="244" spans="4:5" s="238" customFormat="1" ht="14.25" x14ac:dyDescent="0.2">
      <c r="D244" s="257"/>
      <c r="E244" s="257"/>
    </row>
    <row r="245" spans="4:5" s="238" customFormat="1" ht="14.25" x14ac:dyDescent="0.2">
      <c r="D245" s="257"/>
      <c r="E245" s="257"/>
    </row>
    <row r="246" spans="4:5" s="238" customFormat="1" ht="14.25" x14ac:dyDescent="0.2">
      <c r="D246" s="257"/>
      <c r="E246" s="257"/>
    </row>
    <row r="247" spans="4:5" s="238" customFormat="1" ht="14.25" x14ac:dyDescent="0.2">
      <c r="D247" s="257"/>
      <c r="E247" s="257"/>
    </row>
    <row r="248" spans="4:5" s="238" customFormat="1" ht="14.25" x14ac:dyDescent="0.2">
      <c r="D248" s="257"/>
      <c r="E248" s="257"/>
    </row>
    <row r="249" spans="4:5" s="238" customFormat="1" ht="14.25" x14ac:dyDescent="0.2">
      <c r="D249" s="257"/>
      <c r="E249" s="257"/>
    </row>
    <row r="250" spans="4:5" s="238" customFormat="1" ht="14.25" x14ac:dyDescent="0.2">
      <c r="D250" s="257"/>
      <c r="E250" s="257"/>
    </row>
    <row r="251" spans="4:5" s="238" customFormat="1" ht="14.25" x14ac:dyDescent="0.2">
      <c r="D251" s="257"/>
      <c r="E251" s="257"/>
    </row>
    <row r="252" spans="4:5" s="238" customFormat="1" ht="14.25" x14ac:dyDescent="0.2">
      <c r="D252" s="257"/>
      <c r="E252" s="257"/>
    </row>
    <row r="253" spans="4:5" s="238" customFormat="1" ht="14.25" x14ac:dyDescent="0.2">
      <c r="D253" s="257"/>
      <c r="E253" s="257"/>
    </row>
    <row r="254" spans="4:5" s="238" customFormat="1" ht="14.25" x14ac:dyDescent="0.2">
      <c r="D254" s="257"/>
      <c r="E254" s="257"/>
    </row>
    <row r="255" spans="4:5" s="238" customFormat="1" ht="14.25" x14ac:dyDescent="0.2">
      <c r="D255" s="257"/>
      <c r="E255" s="257"/>
    </row>
    <row r="256" spans="4:5" s="238" customFormat="1" ht="14.25" x14ac:dyDescent="0.2">
      <c r="D256" s="257"/>
      <c r="E256" s="257"/>
    </row>
    <row r="257" spans="4:5" s="238" customFormat="1" ht="14.25" x14ac:dyDescent="0.2">
      <c r="D257" s="257"/>
      <c r="E257" s="257"/>
    </row>
    <row r="258" spans="4:5" s="238" customFormat="1" ht="14.25" x14ac:dyDescent="0.2">
      <c r="D258" s="257"/>
      <c r="E258" s="257"/>
    </row>
    <row r="259" spans="4:5" s="238" customFormat="1" ht="14.25" x14ac:dyDescent="0.2">
      <c r="D259" s="257"/>
      <c r="E259" s="257"/>
    </row>
    <row r="260" spans="4:5" s="238" customFormat="1" ht="14.25" x14ac:dyDescent="0.2">
      <c r="D260" s="257"/>
      <c r="E260" s="257"/>
    </row>
    <row r="261" spans="4:5" s="238" customFormat="1" ht="14.25" x14ac:dyDescent="0.2">
      <c r="D261" s="257"/>
      <c r="E261" s="257"/>
    </row>
    <row r="262" spans="4:5" s="238" customFormat="1" ht="14.25" x14ac:dyDescent="0.2">
      <c r="D262" s="257"/>
      <c r="E262" s="257"/>
    </row>
    <row r="263" spans="4:5" s="238" customFormat="1" ht="14.25" x14ac:dyDescent="0.2">
      <c r="D263" s="257"/>
      <c r="E263" s="257"/>
    </row>
    <row r="264" spans="4:5" s="238" customFormat="1" ht="14.25" x14ac:dyDescent="0.2">
      <c r="D264" s="257"/>
      <c r="E264" s="257"/>
    </row>
    <row r="265" spans="4:5" s="238" customFormat="1" ht="14.25" x14ac:dyDescent="0.2">
      <c r="D265" s="257"/>
      <c r="E265" s="257"/>
    </row>
    <row r="266" spans="4:5" s="238" customFormat="1" ht="14.25" x14ac:dyDescent="0.2">
      <c r="D266" s="257"/>
      <c r="E266" s="257"/>
    </row>
    <row r="267" spans="4:5" s="238" customFormat="1" ht="14.25" x14ac:dyDescent="0.2">
      <c r="D267" s="257"/>
      <c r="E267" s="257"/>
    </row>
    <row r="268" spans="4:5" s="238" customFormat="1" ht="14.25" x14ac:dyDescent="0.2">
      <c r="D268" s="257"/>
      <c r="E268" s="257"/>
    </row>
    <row r="269" spans="4:5" s="238" customFormat="1" ht="14.25" x14ac:dyDescent="0.2">
      <c r="D269" s="257"/>
      <c r="E269" s="257"/>
    </row>
    <row r="270" spans="4:5" s="238" customFormat="1" ht="14.25" x14ac:dyDescent="0.2">
      <c r="D270" s="257"/>
      <c r="E270" s="257"/>
    </row>
    <row r="271" spans="4:5" s="238" customFormat="1" ht="14.25" x14ac:dyDescent="0.2">
      <c r="D271" s="257"/>
      <c r="E271" s="257"/>
    </row>
    <row r="272" spans="4:5" s="238" customFormat="1" ht="14.25" x14ac:dyDescent="0.2">
      <c r="D272" s="257"/>
      <c r="E272" s="257"/>
    </row>
    <row r="273" spans="4:5" s="238" customFormat="1" ht="14.25" x14ac:dyDescent="0.2">
      <c r="D273" s="257"/>
      <c r="E273" s="257"/>
    </row>
    <row r="274" spans="4:5" s="238" customFormat="1" ht="14.25" x14ac:dyDescent="0.2">
      <c r="D274" s="257"/>
      <c r="E274" s="257"/>
    </row>
    <row r="275" spans="4:5" s="238" customFormat="1" ht="14.25" x14ac:dyDescent="0.2">
      <c r="D275" s="257"/>
      <c r="E275" s="257"/>
    </row>
    <row r="276" spans="4:5" s="238" customFormat="1" ht="14.25" x14ac:dyDescent="0.2">
      <c r="D276" s="257"/>
      <c r="E276" s="257"/>
    </row>
    <row r="277" spans="4:5" s="238" customFormat="1" ht="14.25" x14ac:dyDescent="0.2">
      <c r="D277" s="257"/>
      <c r="E277" s="257"/>
    </row>
    <row r="278" spans="4:5" s="238" customFormat="1" ht="14.25" x14ac:dyDescent="0.2">
      <c r="D278" s="257"/>
      <c r="E278" s="257"/>
    </row>
    <row r="279" spans="4:5" s="238" customFormat="1" ht="14.25" x14ac:dyDescent="0.2">
      <c r="D279" s="257"/>
      <c r="E279" s="257"/>
    </row>
    <row r="280" spans="4:5" s="238" customFormat="1" ht="14.25" x14ac:dyDescent="0.2">
      <c r="D280" s="257"/>
      <c r="E280" s="257"/>
    </row>
    <row r="281" spans="4:5" s="238" customFormat="1" ht="14.25" x14ac:dyDescent="0.2">
      <c r="D281" s="257"/>
      <c r="E281" s="257"/>
    </row>
    <row r="282" spans="4:5" s="238" customFormat="1" ht="14.25" x14ac:dyDescent="0.2">
      <c r="D282" s="257"/>
      <c r="E282" s="257"/>
    </row>
    <row r="283" spans="4:5" s="238" customFormat="1" ht="14.25" x14ac:dyDescent="0.2">
      <c r="D283" s="257"/>
      <c r="E283" s="257"/>
    </row>
    <row r="284" spans="4:5" s="238" customFormat="1" ht="14.25" x14ac:dyDescent="0.2">
      <c r="D284" s="257"/>
      <c r="E284" s="257"/>
    </row>
    <row r="285" spans="4:5" s="238" customFormat="1" ht="14.25" x14ac:dyDescent="0.2">
      <c r="D285" s="257"/>
      <c r="E285" s="257"/>
    </row>
    <row r="286" spans="4:5" s="238" customFormat="1" ht="14.25" x14ac:dyDescent="0.2">
      <c r="D286" s="257"/>
      <c r="E286" s="257"/>
    </row>
    <row r="287" spans="4:5" s="238" customFormat="1" ht="14.25" x14ac:dyDescent="0.2">
      <c r="D287" s="257"/>
      <c r="E287" s="257"/>
    </row>
    <row r="288" spans="4:5" s="238" customFormat="1" ht="14.25" x14ac:dyDescent="0.2">
      <c r="D288" s="257"/>
      <c r="E288" s="257"/>
    </row>
    <row r="289" spans="4:5" s="238" customFormat="1" ht="14.25" x14ac:dyDescent="0.2">
      <c r="D289" s="257"/>
      <c r="E289" s="257"/>
    </row>
    <row r="290" spans="4:5" s="238" customFormat="1" ht="14.25" x14ac:dyDescent="0.2">
      <c r="D290" s="257"/>
      <c r="E290" s="257"/>
    </row>
    <row r="291" spans="4:5" s="238" customFormat="1" ht="14.25" x14ac:dyDescent="0.2">
      <c r="D291" s="257"/>
      <c r="E291" s="257"/>
    </row>
    <row r="292" spans="4:5" s="238" customFormat="1" ht="14.25" x14ac:dyDescent="0.2">
      <c r="D292" s="257"/>
      <c r="E292" s="257"/>
    </row>
    <row r="293" spans="4:5" s="238" customFormat="1" ht="14.25" x14ac:dyDescent="0.2">
      <c r="D293" s="257"/>
      <c r="E293" s="257"/>
    </row>
    <row r="294" spans="4:5" s="238" customFormat="1" ht="14.25" x14ac:dyDescent="0.2">
      <c r="D294" s="257"/>
      <c r="E294" s="257"/>
    </row>
    <row r="295" spans="4:5" s="238" customFormat="1" ht="14.25" x14ac:dyDescent="0.2">
      <c r="D295" s="257"/>
      <c r="E295" s="257"/>
    </row>
    <row r="296" spans="4:5" s="238" customFormat="1" ht="14.25" x14ac:dyDescent="0.2">
      <c r="D296" s="257"/>
      <c r="E296" s="257"/>
    </row>
    <row r="297" spans="4:5" s="238" customFormat="1" ht="14.25" x14ac:dyDescent="0.2">
      <c r="D297" s="257"/>
      <c r="E297" s="257"/>
    </row>
    <row r="298" spans="4:5" s="238" customFormat="1" ht="14.25" x14ac:dyDescent="0.2">
      <c r="D298" s="257"/>
      <c r="E298" s="257"/>
    </row>
    <row r="299" spans="4:5" s="238" customFormat="1" ht="14.25" x14ac:dyDescent="0.2">
      <c r="D299" s="257"/>
      <c r="E299" s="257"/>
    </row>
    <row r="300" spans="4:5" s="238" customFormat="1" ht="14.25" x14ac:dyDescent="0.2">
      <c r="D300" s="257"/>
      <c r="E300" s="257"/>
    </row>
    <row r="301" spans="4:5" s="238" customFormat="1" ht="14.25" x14ac:dyDescent="0.2">
      <c r="D301" s="257"/>
      <c r="E301" s="257"/>
    </row>
    <row r="302" spans="4:5" s="238" customFormat="1" ht="14.25" x14ac:dyDescent="0.2">
      <c r="D302" s="257"/>
      <c r="E302" s="257"/>
    </row>
    <row r="303" spans="4:5" s="238" customFormat="1" ht="14.25" x14ac:dyDescent="0.2">
      <c r="D303" s="257"/>
      <c r="E303" s="257"/>
    </row>
    <row r="304" spans="4:5" s="238" customFormat="1" ht="14.25" x14ac:dyDescent="0.2">
      <c r="D304" s="257"/>
      <c r="E304" s="257"/>
    </row>
    <row r="305" spans="4:5" s="238" customFormat="1" ht="14.25" x14ac:dyDescent="0.2">
      <c r="D305" s="257"/>
      <c r="E305" s="257"/>
    </row>
    <row r="306" spans="4:5" s="238" customFormat="1" ht="14.25" x14ac:dyDescent="0.2">
      <c r="D306" s="257"/>
      <c r="E306" s="257"/>
    </row>
    <row r="307" spans="4:5" s="238" customFormat="1" ht="14.25" x14ac:dyDescent="0.2">
      <c r="D307" s="257"/>
      <c r="E307" s="257"/>
    </row>
    <row r="308" spans="4:5" s="238" customFormat="1" ht="14.25" x14ac:dyDescent="0.2">
      <c r="D308" s="257"/>
      <c r="E308" s="257"/>
    </row>
    <row r="309" spans="4:5" s="238" customFormat="1" ht="14.25" x14ac:dyDescent="0.2">
      <c r="D309" s="257"/>
      <c r="E309" s="257"/>
    </row>
    <row r="310" spans="4:5" s="238" customFormat="1" ht="14.25" x14ac:dyDescent="0.2">
      <c r="D310" s="257"/>
      <c r="E310" s="257"/>
    </row>
    <row r="311" spans="4:5" s="238" customFormat="1" ht="14.25" x14ac:dyDescent="0.2">
      <c r="D311" s="257"/>
      <c r="E311" s="257"/>
    </row>
    <row r="312" spans="4:5" s="238" customFormat="1" ht="14.25" x14ac:dyDescent="0.2">
      <c r="D312" s="257"/>
      <c r="E312" s="257"/>
    </row>
    <row r="313" spans="4:5" s="238" customFormat="1" ht="14.25" x14ac:dyDescent="0.2">
      <c r="D313" s="257"/>
      <c r="E313" s="257"/>
    </row>
    <row r="314" spans="4:5" s="238" customFormat="1" ht="14.25" x14ac:dyDescent="0.2">
      <c r="D314" s="257"/>
      <c r="E314" s="257"/>
    </row>
    <row r="315" spans="4:5" s="238" customFormat="1" ht="14.25" x14ac:dyDescent="0.2">
      <c r="D315" s="257"/>
      <c r="E315" s="257"/>
    </row>
    <row r="316" spans="4:5" s="238" customFormat="1" ht="14.25" x14ac:dyDescent="0.2">
      <c r="D316" s="257"/>
      <c r="E316" s="257"/>
    </row>
    <row r="317" spans="4:5" s="238" customFormat="1" ht="14.25" x14ac:dyDescent="0.2">
      <c r="D317" s="257"/>
      <c r="E317" s="257"/>
    </row>
    <row r="318" spans="4:5" s="238" customFormat="1" ht="14.25" x14ac:dyDescent="0.2">
      <c r="D318" s="257"/>
      <c r="E318" s="257"/>
    </row>
    <row r="319" spans="4:5" s="238" customFormat="1" ht="14.25" x14ac:dyDescent="0.2">
      <c r="D319" s="257"/>
      <c r="E319" s="257"/>
    </row>
    <row r="320" spans="4:5" s="238" customFormat="1" ht="14.25" x14ac:dyDescent="0.2">
      <c r="D320" s="257"/>
      <c r="E320" s="257"/>
    </row>
    <row r="321" spans="4:5" s="238" customFormat="1" ht="14.25" x14ac:dyDescent="0.2">
      <c r="D321" s="257"/>
      <c r="E321" s="257"/>
    </row>
    <row r="322" spans="4:5" s="238" customFormat="1" ht="14.25" x14ac:dyDescent="0.2">
      <c r="D322" s="257"/>
      <c r="E322" s="257"/>
    </row>
    <row r="323" spans="4:5" s="238" customFormat="1" ht="14.25" x14ac:dyDescent="0.2">
      <c r="D323" s="257"/>
      <c r="E323" s="257"/>
    </row>
    <row r="324" spans="4:5" s="238" customFormat="1" ht="14.25" x14ac:dyDescent="0.2">
      <c r="D324" s="257"/>
      <c r="E324" s="257"/>
    </row>
    <row r="325" spans="4:5" s="238" customFormat="1" ht="14.25" x14ac:dyDescent="0.2">
      <c r="D325" s="257"/>
      <c r="E325" s="257"/>
    </row>
    <row r="326" spans="4:5" s="238" customFormat="1" ht="14.25" x14ac:dyDescent="0.2">
      <c r="D326" s="257"/>
      <c r="E326" s="257"/>
    </row>
    <row r="327" spans="4:5" s="238" customFormat="1" ht="14.25" x14ac:dyDescent="0.2">
      <c r="D327" s="257"/>
      <c r="E327" s="257"/>
    </row>
    <row r="328" spans="4:5" s="238" customFormat="1" ht="14.25" x14ac:dyDescent="0.2">
      <c r="D328" s="257"/>
      <c r="E328" s="257"/>
    </row>
    <row r="329" spans="4:5" s="238" customFormat="1" ht="14.25" x14ac:dyDescent="0.2">
      <c r="D329" s="257"/>
      <c r="E329" s="257"/>
    </row>
    <row r="330" spans="4:5" s="238" customFormat="1" ht="14.25" x14ac:dyDescent="0.2">
      <c r="D330" s="257"/>
      <c r="E330" s="257"/>
    </row>
    <row r="331" spans="4:5" s="238" customFormat="1" ht="14.25" x14ac:dyDescent="0.2">
      <c r="D331" s="257"/>
      <c r="E331" s="257"/>
    </row>
    <row r="332" spans="4:5" s="238" customFormat="1" ht="14.25" x14ac:dyDescent="0.2">
      <c r="D332" s="257"/>
      <c r="E332" s="257"/>
    </row>
    <row r="333" spans="4:5" s="238" customFormat="1" ht="14.25" x14ac:dyDescent="0.2">
      <c r="D333" s="257"/>
      <c r="E333" s="257"/>
    </row>
    <row r="334" spans="4:5" s="238" customFormat="1" ht="14.25" x14ac:dyDescent="0.2">
      <c r="D334" s="257"/>
      <c r="E334" s="257"/>
    </row>
    <row r="335" spans="4:5" s="238" customFormat="1" ht="14.25" x14ac:dyDescent="0.2">
      <c r="D335" s="257"/>
      <c r="E335" s="257"/>
    </row>
    <row r="336" spans="4:5" s="238" customFormat="1" ht="14.25" x14ac:dyDescent="0.2">
      <c r="D336" s="257"/>
      <c r="E336" s="257"/>
    </row>
    <row r="337" spans="4:5" s="238" customFormat="1" ht="14.25" x14ac:dyDescent="0.2">
      <c r="D337" s="257"/>
      <c r="E337" s="257"/>
    </row>
    <row r="338" spans="4:5" s="238" customFormat="1" ht="14.25" x14ac:dyDescent="0.2">
      <c r="D338" s="257"/>
      <c r="E338" s="257"/>
    </row>
    <row r="339" spans="4:5" s="238" customFormat="1" ht="14.25" x14ac:dyDescent="0.2">
      <c r="D339" s="257"/>
      <c r="E339" s="257"/>
    </row>
    <row r="340" spans="4:5" s="238" customFormat="1" ht="14.25" x14ac:dyDescent="0.2">
      <c r="D340" s="257"/>
      <c r="E340" s="257"/>
    </row>
    <row r="341" spans="4:5" s="238" customFormat="1" ht="14.25" x14ac:dyDescent="0.2">
      <c r="D341" s="257"/>
      <c r="E341" s="257"/>
    </row>
    <row r="342" spans="4:5" s="238" customFormat="1" ht="14.25" x14ac:dyDescent="0.2">
      <c r="D342" s="257"/>
      <c r="E342" s="257"/>
    </row>
    <row r="343" spans="4:5" s="238" customFormat="1" ht="14.25" x14ac:dyDescent="0.2">
      <c r="D343" s="257"/>
      <c r="E343" s="257"/>
    </row>
    <row r="344" spans="4:5" s="238" customFormat="1" ht="14.25" x14ac:dyDescent="0.2">
      <c r="D344" s="257"/>
      <c r="E344" s="257"/>
    </row>
    <row r="345" spans="4:5" s="238" customFormat="1" ht="14.25" x14ac:dyDescent="0.2">
      <c r="D345" s="257"/>
      <c r="E345" s="257"/>
    </row>
    <row r="346" spans="4:5" s="238" customFormat="1" ht="14.25" x14ac:dyDescent="0.2">
      <c r="D346" s="257"/>
      <c r="E346" s="257"/>
    </row>
    <row r="347" spans="4:5" s="238" customFormat="1" ht="14.25" x14ac:dyDescent="0.2">
      <c r="D347" s="257"/>
      <c r="E347" s="257"/>
    </row>
    <row r="348" spans="4:5" s="238" customFormat="1" ht="14.25" x14ac:dyDescent="0.2">
      <c r="D348" s="257"/>
      <c r="E348" s="257"/>
    </row>
    <row r="349" spans="4:5" s="238" customFormat="1" ht="14.25" x14ac:dyDescent="0.2">
      <c r="D349" s="257"/>
      <c r="E349" s="257"/>
    </row>
    <row r="350" spans="4:5" s="238" customFormat="1" ht="14.25" x14ac:dyDescent="0.2">
      <c r="D350" s="257"/>
      <c r="E350" s="257"/>
    </row>
    <row r="351" spans="4:5" s="238" customFormat="1" ht="14.25" x14ac:dyDescent="0.2">
      <c r="D351" s="257"/>
      <c r="E351" s="257"/>
    </row>
    <row r="352" spans="4:5" s="238" customFormat="1" ht="14.25" x14ac:dyDescent="0.2">
      <c r="D352" s="257"/>
      <c r="E352" s="257"/>
    </row>
    <row r="353" spans="4:5" s="238" customFormat="1" ht="14.25" x14ac:dyDescent="0.2">
      <c r="D353" s="257"/>
      <c r="E353" s="257"/>
    </row>
    <row r="354" spans="4:5" s="238" customFormat="1" ht="14.25" x14ac:dyDescent="0.2">
      <c r="D354" s="257"/>
      <c r="E354" s="257"/>
    </row>
    <row r="355" spans="4:5" s="238" customFormat="1" ht="14.25" x14ac:dyDescent="0.2">
      <c r="D355" s="257"/>
      <c r="E355" s="257"/>
    </row>
    <row r="356" spans="4:5" s="238" customFormat="1" ht="14.25" x14ac:dyDescent="0.2">
      <c r="D356" s="257"/>
      <c r="E356" s="257"/>
    </row>
    <row r="357" spans="4:5" s="238" customFormat="1" ht="14.25" x14ac:dyDescent="0.2">
      <c r="D357" s="257"/>
      <c r="E357" s="257"/>
    </row>
    <row r="358" spans="4:5" s="238" customFormat="1" ht="14.25" x14ac:dyDescent="0.2">
      <c r="D358" s="257"/>
      <c r="E358" s="257"/>
    </row>
    <row r="359" spans="4:5" s="238" customFormat="1" ht="14.25" x14ac:dyDescent="0.2">
      <c r="D359" s="257"/>
      <c r="E359" s="257"/>
    </row>
    <row r="360" spans="4:5" s="238" customFormat="1" ht="14.25" x14ac:dyDescent="0.2">
      <c r="D360" s="257"/>
      <c r="E360" s="257"/>
    </row>
    <row r="361" spans="4:5" s="238" customFormat="1" ht="14.25" x14ac:dyDescent="0.2">
      <c r="D361" s="257"/>
      <c r="E361" s="257"/>
    </row>
    <row r="362" spans="4:5" s="238" customFormat="1" ht="14.25" x14ac:dyDescent="0.2">
      <c r="D362" s="257"/>
      <c r="E362" s="257"/>
    </row>
    <row r="363" spans="4:5" s="238" customFormat="1" ht="14.25" x14ac:dyDescent="0.2">
      <c r="D363" s="257"/>
      <c r="E363" s="257"/>
    </row>
    <row r="364" spans="4:5" s="238" customFormat="1" ht="14.25" x14ac:dyDescent="0.2">
      <c r="D364" s="257"/>
      <c r="E364" s="257"/>
    </row>
    <row r="365" spans="4:5" s="238" customFormat="1" ht="14.25" x14ac:dyDescent="0.2">
      <c r="D365" s="257"/>
      <c r="E365" s="257"/>
    </row>
    <row r="366" spans="4:5" s="238" customFormat="1" ht="14.25" x14ac:dyDescent="0.2">
      <c r="D366" s="257"/>
      <c r="E366" s="257"/>
    </row>
    <row r="367" spans="4:5" s="238" customFormat="1" ht="14.25" x14ac:dyDescent="0.2">
      <c r="D367" s="257"/>
      <c r="E367" s="257"/>
    </row>
    <row r="368" spans="4:5" s="238" customFormat="1" ht="14.25" x14ac:dyDescent="0.2">
      <c r="D368" s="257"/>
      <c r="E368" s="257"/>
    </row>
    <row r="369" spans="4:5" s="238" customFormat="1" ht="14.25" x14ac:dyDescent="0.2">
      <c r="D369" s="257"/>
      <c r="E369" s="257"/>
    </row>
    <row r="370" spans="4:5" s="238" customFormat="1" ht="14.25" x14ac:dyDescent="0.2">
      <c r="D370" s="257"/>
      <c r="E370" s="257"/>
    </row>
    <row r="371" spans="4:5" s="238" customFormat="1" ht="14.25" x14ac:dyDescent="0.2">
      <c r="D371" s="257"/>
      <c r="E371" s="257"/>
    </row>
    <row r="372" spans="4:5" s="238" customFormat="1" ht="14.25" x14ac:dyDescent="0.2">
      <c r="D372" s="257"/>
      <c r="E372" s="257"/>
    </row>
    <row r="373" spans="4:5" s="238" customFormat="1" ht="14.25" x14ac:dyDescent="0.2">
      <c r="D373" s="257"/>
      <c r="E373" s="257"/>
    </row>
    <row r="374" spans="4:5" s="238" customFormat="1" ht="14.25" x14ac:dyDescent="0.2">
      <c r="D374" s="257"/>
      <c r="E374" s="257"/>
    </row>
    <row r="375" spans="4:5" s="238" customFormat="1" ht="14.25" x14ac:dyDescent="0.2">
      <c r="D375" s="257"/>
      <c r="E375" s="257"/>
    </row>
    <row r="376" spans="4:5" s="238" customFormat="1" ht="14.25" x14ac:dyDescent="0.2">
      <c r="D376" s="257"/>
      <c r="E376" s="257"/>
    </row>
    <row r="377" spans="4:5" s="238" customFormat="1" ht="14.25" x14ac:dyDescent="0.2">
      <c r="D377" s="257"/>
      <c r="E377" s="257"/>
    </row>
    <row r="378" spans="4:5" s="238" customFormat="1" ht="14.25" x14ac:dyDescent="0.2">
      <c r="D378" s="257"/>
      <c r="E378" s="257"/>
    </row>
    <row r="379" spans="4:5" s="238" customFormat="1" ht="14.25" x14ac:dyDescent="0.2">
      <c r="D379" s="257"/>
      <c r="E379" s="257"/>
    </row>
    <row r="380" spans="4:5" s="238" customFormat="1" ht="14.25" x14ac:dyDescent="0.2">
      <c r="D380" s="257"/>
      <c r="E380" s="257"/>
    </row>
    <row r="381" spans="4:5" s="238" customFormat="1" ht="14.25" x14ac:dyDescent="0.2">
      <c r="D381" s="257"/>
      <c r="E381" s="257"/>
    </row>
    <row r="382" spans="4:5" s="238" customFormat="1" ht="14.25" x14ac:dyDescent="0.2">
      <c r="D382" s="257"/>
      <c r="E382" s="257"/>
    </row>
    <row r="383" spans="4:5" s="238" customFormat="1" ht="14.25" x14ac:dyDescent="0.2">
      <c r="D383" s="257"/>
      <c r="E383" s="257"/>
    </row>
    <row r="384" spans="4:5" s="238" customFormat="1" ht="14.25" x14ac:dyDescent="0.2">
      <c r="D384" s="257"/>
      <c r="E384" s="257"/>
    </row>
    <row r="385" spans="4:5" s="238" customFormat="1" ht="14.25" x14ac:dyDescent="0.2">
      <c r="D385" s="257"/>
      <c r="E385" s="257"/>
    </row>
    <row r="386" spans="4:5" s="238" customFormat="1" ht="14.25" x14ac:dyDescent="0.2">
      <c r="D386" s="257"/>
      <c r="E386" s="257"/>
    </row>
    <row r="387" spans="4:5" s="238" customFormat="1" ht="14.25" x14ac:dyDescent="0.2">
      <c r="D387" s="257"/>
      <c r="E387" s="257"/>
    </row>
    <row r="388" spans="4:5" s="238" customFormat="1" ht="14.25" x14ac:dyDescent="0.2">
      <c r="D388" s="257"/>
      <c r="E388" s="257"/>
    </row>
    <row r="389" spans="4:5" s="238" customFormat="1" ht="14.25" x14ac:dyDescent="0.2">
      <c r="D389" s="257"/>
      <c r="E389" s="257"/>
    </row>
    <row r="390" spans="4:5" s="238" customFormat="1" ht="14.25" x14ac:dyDescent="0.2">
      <c r="D390" s="257"/>
      <c r="E390" s="257"/>
    </row>
    <row r="391" spans="4:5" s="238" customFormat="1" ht="14.25" x14ac:dyDescent="0.2">
      <c r="D391" s="257"/>
      <c r="E391" s="257"/>
    </row>
    <row r="392" spans="4:5" s="238" customFormat="1" ht="14.25" x14ac:dyDescent="0.2">
      <c r="D392" s="257"/>
      <c r="E392" s="257"/>
    </row>
    <row r="393" spans="4:5" s="238" customFormat="1" ht="14.25" x14ac:dyDescent="0.2">
      <c r="D393" s="257"/>
      <c r="E393" s="257"/>
    </row>
    <row r="394" spans="4:5" s="238" customFormat="1" ht="14.25" x14ac:dyDescent="0.2">
      <c r="D394" s="257"/>
      <c r="E394" s="257"/>
    </row>
    <row r="395" spans="4:5" s="238" customFormat="1" ht="14.25" x14ac:dyDescent="0.2">
      <c r="D395" s="257"/>
      <c r="E395" s="257"/>
    </row>
    <row r="396" spans="4:5" s="238" customFormat="1" ht="14.25" x14ac:dyDescent="0.2">
      <c r="D396" s="257"/>
      <c r="E396" s="257"/>
    </row>
    <row r="397" spans="4:5" s="238" customFormat="1" ht="14.25" x14ac:dyDescent="0.2">
      <c r="D397" s="257"/>
      <c r="E397" s="257"/>
    </row>
    <row r="398" spans="4:5" s="238" customFormat="1" ht="14.25" x14ac:dyDescent="0.2">
      <c r="D398" s="257"/>
      <c r="E398" s="257"/>
    </row>
    <row r="399" spans="4:5" s="238" customFormat="1" ht="14.25" x14ac:dyDescent="0.2">
      <c r="D399" s="257"/>
      <c r="E399" s="257"/>
    </row>
    <row r="400" spans="4:5" s="238" customFormat="1" ht="14.25" x14ac:dyDescent="0.2">
      <c r="D400" s="257"/>
      <c r="E400" s="257"/>
    </row>
    <row r="401" spans="4:5" s="238" customFormat="1" ht="14.25" x14ac:dyDescent="0.2">
      <c r="D401" s="257"/>
      <c r="E401" s="257"/>
    </row>
    <row r="402" spans="4:5" s="238" customFormat="1" ht="14.25" x14ac:dyDescent="0.2">
      <c r="D402" s="257"/>
      <c r="E402" s="257"/>
    </row>
    <row r="403" spans="4:5" s="238" customFormat="1" ht="14.25" x14ac:dyDescent="0.2">
      <c r="D403" s="257"/>
      <c r="E403" s="257"/>
    </row>
    <row r="404" spans="4:5" s="238" customFormat="1" ht="14.25" x14ac:dyDescent="0.2">
      <c r="D404" s="257"/>
      <c r="E404" s="257"/>
    </row>
    <row r="405" spans="4:5" s="238" customFormat="1" ht="14.25" x14ac:dyDescent="0.2">
      <c r="D405" s="257"/>
      <c r="E405" s="257"/>
    </row>
    <row r="406" spans="4:5" s="238" customFormat="1" ht="14.25" x14ac:dyDescent="0.2">
      <c r="D406" s="257"/>
      <c r="E406" s="257"/>
    </row>
    <row r="407" spans="4:5" s="238" customFormat="1" ht="14.25" x14ac:dyDescent="0.2">
      <c r="D407" s="257"/>
      <c r="E407" s="257"/>
    </row>
    <row r="408" spans="4:5" s="238" customFormat="1" ht="14.25" x14ac:dyDescent="0.2">
      <c r="D408" s="257"/>
      <c r="E408" s="257"/>
    </row>
    <row r="409" spans="4:5" s="238" customFormat="1" ht="14.25" x14ac:dyDescent="0.2">
      <c r="D409" s="257"/>
      <c r="E409" s="257"/>
    </row>
    <row r="410" spans="4:5" s="238" customFormat="1" ht="14.25" x14ac:dyDescent="0.2">
      <c r="D410" s="257"/>
      <c r="E410" s="257"/>
    </row>
    <row r="411" spans="4:5" s="238" customFormat="1" ht="14.25" x14ac:dyDescent="0.2">
      <c r="D411" s="257"/>
      <c r="E411" s="257"/>
    </row>
    <row r="412" spans="4:5" s="238" customFormat="1" ht="14.25" x14ac:dyDescent="0.2">
      <c r="D412" s="257"/>
      <c r="E412" s="257"/>
    </row>
    <row r="413" spans="4:5" s="238" customFormat="1" ht="14.25" x14ac:dyDescent="0.2">
      <c r="D413" s="257"/>
      <c r="E413" s="257"/>
    </row>
    <row r="414" spans="4:5" s="238" customFormat="1" ht="14.25" x14ac:dyDescent="0.2">
      <c r="D414" s="257"/>
      <c r="E414" s="257"/>
    </row>
    <row r="415" spans="4:5" s="238" customFormat="1" ht="14.25" x14ac:dyDescent="0.2">
      <c r="D415" s="257"/>
      <c r="E415" s="257"/>
    </row>
    <row r="416" spans="4:5" s="238" customFormat="1" ht="14.25" x14ac:dyDescent="0.2">
      <c r="D416" s="257"/>
      <c r="E416" s="257"/>
    </row>
    <row r="417" spans="4:5" s="238" customFormat="1" ht="14.25" x14ac:dyDescent="0.2">
      <c r="D417" s="257"/>
      <c r="E417" s="257"/>
    </row>
    <row r="418" spans="4:5" s="238" customFormat="1" ht="14.25" x14ac:dyDescent="0.2">
      <c r="D418" s="257"/>
      <c r="E418" s="257"/>
    </row>
    <row r="419" spans="4:5" s="238" customFormat="1" ht="14.25" x14ac:dyDescent="0.2">
      <c r="D419" s="257"/>
      <c r="E419" s="257"/>
    </row>
    <row r="420" spans="4:5" s="238" customFormat="1" ht="14.25" x14ac:dyDescent="0.2">
      <c r="D420" s="257"/>
      <c r="E420" s="257"/>
    </row>
    <row r="421" spans="4:5" s="238" customFormat="1" ht="14.25" x14ac:dyDescent="0.2">
      <c r="D421" s="257"/>
      <c r="E421" s="257"/>
    </row>
    <row r="422" spans="4:5" s="238" customFormat="1" ht="14.25" x14ac:dyDescent="0.2">
      <c r="D422" s="257"/>
      <c r="E422" s="257"/>
    </row>
    <row r="423" spans="4:5" s="238" customFormat="1" ht="14.25" x14ac:dyDescent="0.2">
      <c r="D423" s="257"/>
      <c r="E423" s="257"/>
    </row>
    <row r="424" spans="4:5" s="238" customFormat="1" ht="14.25" x14ac:dyDescent="0.2">
      <c r="D424" s="257"/>
      <c r="E424" s="257"/>
    </row>
    <row r="425" spans="4:5" s="238" customFormat="1" ht="14.25" x14ac:dyDescent="0.2">
      <c r="D425" s="257"/>
      <c r="E425" s="257"/>
    </row>
    <row r="426" spans="4:5" s="238" customFormat="1" ht="14.25" x14ac:dyDescent="0.2">
      <c r="D426" s="257"/>
      <c r="E426" s="257"/>
    </row>
    <row r="427" spans="4:5" s="238" customFormat="1" ht="14.25" x14ac:dyDescent="0.2">
      <c r="D427" s="257"/>
      <c r="E427" s="257"/>
    </row>
    <row r="428" spans="4:5" s="238" customFormat="1" ht="14.25" x14ac:dyDescent="0.2">
      <c r="D428" s="257"/>
      <c r="E428" s="257"/>
    </row>
    <row r="429" spans="4:5" s="238" customFormat="1" ht="14.25" x14ac:dyDescent="0.2">
      <c r="D429" s="257"/>
      <c r="E429" s="257"/>
    </row>
    <row r="430" spans="4:5" s="238" customFormat="1" ht="14.25" x14ac:dyDescent="0.2">
      <c r="D430" s="257"/>
      <c r="E430" s="257"/>
    </row>
    <row r="431" spans="4:5" s="238" customFormat="1" ht="14.25" x14ac:dyDescent="0.2">
      <c r="D431" s="257"/>
      <c r="E431" s="257"/>
    </row>
    <row r="432" spans="4:5" s="238" customFormat="1" ht="14.25" x14ac:dyDescent="0.2">
      <c r="D432" s="257"/>
      <c r="E432" s="257"/>
    </row>
    <row r="433" spans="4:5" s="238" customFormat="1" ht="14.25" x14ac:dyDescent="0.2">
      <c r="D433" s="257"/>
      <c r="E433" s="257"/>
    </row>
    <row r="434" spans="4:5" s="238" customFormat="1" ht="14.25" x14ac:dyDescent="0.2">
      <c r="D434" s="257"/>
      <c r="E434" s="257"/>
    </row>
    <row r="435" spans="4:5" s="238" customFormat="1" ht="14.25" x14ac:dyDescent="0.2">
      <c r="D435" s="257"/>
      <c r="E435" s="257"/>
    </row>
    <row r="436" spans="4:5" s="238" customFormat="1" ht="14.25" x14ac:dyDescent="0.2">
      <c r="D436" s="257"/>
      <c r="E436" s="257"/>
    </row>
    <row r="437" spans="4:5" s="238" customFormat="1" ht="14.25" x14ac:dyDescent="0.2">
      <c r="D437" s="257"/>
      <c r="E437" s="257"/>
    </row>
    <row r="438" spans="4:5" s="238" customFormat="1" ht="14.25" x14ac:dyDescent="0.2">
      <c r="D438" s="257"/>
      <c r="E438" s="257"/>
    </row>
    <row r="439" spans="4:5" s="238" customFormat="1" ht="14.25" x14ac:dyDescent="0.2">
      <c r="D439" s="257"/>
      <c r="E439" s="257"/>
    </row>
    <row r="440" spans="4:5" s="238" customFormat="1" ht="14.25" x14ac:dyDescent="0.2">
      <c r="D440" s="257"/>
      <c r="E440" s="257"/>
    </row>
    <row r="441" spans="4:5" s="238" customFormat="1" ht="14.25" x14ac:dyDescent="0.2">
      <c r="D441" s="257"/>
      <c r="E441" s="257"/>
    </row>
    <row r="442" spans="4:5" s="238" customFormat="1" ht="14.25" x14ac:dyDescent="0.2">
      <c r="D442" s="257"/>
      <c r="E442" s="257"/>
    </row>
    <row r="443" spans="4:5" s="238" customFormat="1" ht="14.25" x14ac:dyDescent="0.2">
      <c r="D443" s="257"/>
      <c r="E443" s="257"/>
    </row>
    <row r="444" spans="4:5" s="238" customFormat="1" ht="14.25" x14ac:dyDescent="0.2">
      <c r="D444" s="257"/>
      <c r="E444" s="257"/>
    </row>
    <row r="445" spans="4:5" s="238" customFormat="1" ht="14.25" x14ac:dyDescent="0.2">
      <c r="D445" s="257"/>
      <c r="E445" s="257"/>
    </row>
    <row r="446" spans="4:5" s="238" customFormat="1" ht="14.25" x14ac:dyDescent="0.2">
      <c r="D446" s="257"/>
      <c r="E446" s="257"/>
    </row>
    <row r="447" spans="4:5" s="238" customFormat="1" ht="14.25" x14ac:dyDescent="0.2">
      <c r="D447" s="257"/>
      <c r="E447" s="257"/>
    </row>
    <row r="448" spans="4:5" s="238" customFormat="1" ht="14.25" x14ac:dyDescent="0.2">
      <c r="D448" s="257"/>
      <c r="E448" s="257"/>
    </row>
    <row r="449" spans="4:5" s="238" customFormat="1" ht="14.25" x14ac:dyDescent="0.2">
      <c r="D449" s="257"/>
      <c r="E449" s="257"/>
    </row>
    <row r="450" spans="4:5" s="238" customFormat="1" ht="14.25" x14ac:dyDescent="0.2">
      <c r="D450" s="257"/>
      <c r="E450" s="257"/>
    </row>
    <row r="451" spans="4:5" s="238" customFormat="1" ht="14.25" x14ac:dyDescent="0.2">
      <c r="D451" s="257"/>
      <c r="E451" s="257"/>
    </row>
    <row r="452" spans="4:5" s="238" customFormat="1" ht="14.25" x14ac:dyDescent="0.2">
      <c r="D452" s="257"/>
      <c r="E452" s="257"/>
    </row>
    <row r="453" spans="4:5" s="238" customFormat="1" ht="14.25" x14ac:dyDescent="0.2">
      <c r="D453" s="257"/>
      <c r="E453" s="257"/>
    </row>
    <row r="454" spans="4:5" s="238" customFormat="1" ht="14.25" x14ac:dyDescent="0.2">
      <c r="D454" s="257"/>
      <c r="E454" s="257"/>
    </row>
    <row r="455" spans="4:5" s="238" customFormat="1" ht="14.25" x14ac:dyDescent="0.2">
      <c r="D455" s="257"/>
      <c r="E455" s="257"/>
    </row>
    <row r="456" spans="4:5" s="238" customFormat="1" ht="14.25" x14ac:dyDescent="0.2">
      <c r="D456" s="257"/>
      <c r="E456" s="257"/>
    </row>
    <row r="457" spans="4:5" s="238" customFormat="1" ht="14.25" x14ac:dyDescent="0.2">
      <c r="D457" s="257"/>
      <c r="E457" s="257"/>
    </row>
    <row r="458" spans="4:5" s="238" customFormat="1" ht="14.25" x14ac:dyDescent="0.2">
      <c r="D458" s="257"/>
      <c r="E458" s="257"/>
    </row>
    <row r="459" spans="4:5" s="238" customFormat="1" ht="14.25" x14ac:dyDescent="0.2">
      <c r="D459" s="257"/>
      <c r="E459" s="257"/>
    </row>
    <row r="460" spans="4:5" s="238" customFormat="1" ht="14.25" x14ac:dyDescent="0.2">
      <c r="D460" s="257"/>
      <c r="E460" s="257"/>
    </row>
    <row r="461" spans="4:5" s="238" customFormat="1" ht="14.25" x14ac:dyDescent="0.2">
      <c r="D461" s="257"/>
      <c r="E461" s="257"/>
    </row>
    <row r="462" spans="4:5" s="238" customFormat="1" ht="14.25" x14ac:dyDescent="0.2">
      <c r="D462" s="257"/>
      <c r="E462" s="257"/>
    </row>
    <row r="463" spans="4:5" s="238" customFormat="1" ht="14.25" x14ac:dyDescent="0.2">
      <c r="D463" s="257"/>
      <c r="E463" s="257"/>
    </row>
    <row r="464" spans="4:5" s="238" customFormat="1" ht="14.25" x14ac:dyDescent="0.2">
      <c r="D464" s="257"/>
      <c r="E464" s="257"/>
    </row>
    <row r="465" spans="4:5" s="238" customFormat="1" ht="14.25" x14ac:dyDescent="0.2">
      <c r="D465" s="257"/>
      <c r="E465" s="257"/>
    </row>
    <row r="466" spans="4:5" s="238" customFormat="1" ht="14.25" x14ac:dyDescent="0.2">
      <c r="D466" s="257"/>
      <c r="E466" s="257"/>
    </row>
    <row r="467" spans="4:5" s="238" customFormat="1" ht="14.25" x14ac:dyDescent="0.2">
      <c r="D467" s="257"/>
      <c r="E467" s="257"/>
    </row>
    <row r="468" spans="4:5" s="238" customFormat="1" ht="14.25" x14ac:dyDescent="0.2">
      <c r="D468" s="257"/>
      <c r="E468" s="257"/>
    </row>
    <row r="469" spans="4:5" s="238" customFormat="1" ht="14.25" x14ac:dyDescent="0.2">
      <c r="D469" s="257"/>
      <c r="E469" s="257"/>
    </row>
    <row r="470" spans="4:5" s="238" customFormat="1" ht="14.25" x14ac:dyDescent="0.2">
      <c r="D470" s="257"/>
      <c r="E470" s="257"/>
    </row>
    <row r="471" spans="4:5" s="238" customFormat="1" ht="14.25" x14ac:dyDescent="0.2">
      <c r="D471" s="257"/>
      <c r="E471" s="257"/>
    </row>
    <row r="472" spans="4:5" s="238" customFormat="1" ht="14.25" x14ac:dyDescent="0.2">
      <c r="D472" s="257"/>
      <c r="E472" s="257"/>
    </row>
    <row r="473" spans="4:5" s="238" customFormat="1" ht="14.25" x14ac:dyDescent="0.2">
      <c r="D473" s="257"/>
      <c r="E473" s="257"/>
    </row>
    <row r="474" spans="4:5" s="238" customFormat="1" ht="14.25" x14ac:dyDescent="0.2">
      <c r="D474" s="257"/>
      <c r="E474" s="257"/>
    </row>
    <row r="475" spans="4:5" s="238" customFormat="1" ht="14.25" x14ac:dyDescent="0.2">
      <c r="D475" s="257"/>
      <c r="E475" s="257"/>
    </row>
    <row r="476" spans="4:5" s="238" customFormat="1" ht="14.25" x14ac:dyDescent="0.2">
      <c r="D476" s="257"/>
      <c r="E476" s="257"/>
    </row>
    <row r="477" spans="4:5" s="238" customFormat="1" ht="14.25" x14ac:dyDescent="0.2">
      <c r="D477" s="257"/>
      <c r="E477" s="257"/>
    </row>
    <row r="478" spans="4:5" s="238" customFormat="1" ht="14.25" x14ac:dyDescent="0.2">
      <c r="D478" s="257"/>
      <c r="E478" s="257"/>
    </row>
    <row r="479" spans="4:5" s="238" customFormat="1" ht="14.25" x14ac:dyDescent="0.2">
      <c r="D479" s="257"/>
      <c r="E479" s="257"/>
    </row>
    <row r="480" spans="4:5" s="238" customFormat="1" ht="14.25" x14ac:dyDescent="0.2">
      <c r="D480" s="257"/>
      <c r="E480" s="257"/>
    </row>
    <row r="481" spans="4:5" s="238" customFormat="1" ht="14.25" x14ac:dyDescent="0.2">
      <c r="D481" s="257"/>
      <c r="E481" s="257"/>
    </row>
    <row r="482" spans="4:5" s="238" customFormat="1" ht="14.25" x14ac:dyDescent="0.2">
      <c r="D482" s="257"/>
      <c r="E482" s="257"/>
    </row>
    <row r="483" spans="4:5" s="238" customFormat="1" ht="14.25" x14ac:dyDescent="0.2">
      <c r="D483" s="257"/>
      <c r="E483" s="257"/>
    </row>
    <row r="484" spans="4:5" s="238" customFormat="1" ht="14.25" x14ac:dyDescent="0.2">
      <c r="D484" s="257"/>
      <c r="E484" s="257"/>
    </row>
    <row r="485" spans="4:5" s="238" customFormat="1" ht="14.25" x14ac:dyDescent="0.2">
      <c r="D485" s="257"/>
      <c r="E485" s="257"/>
    </row>
    <row r="486" spans="4:5" s="238" customFormat="1" ht="14.25" x14ac:dyDescent="0.2">
      <c r="D486" s="257"/>
      <c r="E486" s="257"/>
    </row>
    <row r="487" spans="4:5" s="238" customFormat="1" ht="14.25" x14ac:dyDescent="0.2">
      <c r="D487" s="257"/>
      <c r="E487" s="257"/>
    </row>
    <row r="488" spans="4:5" s="238" customFormat="1" ht="14.25" x14ac:dyDescent="0.2">
      <c r="D488" s="257"/>
      <c r="E488" s="257"/>
    </row>
    <row r="489" spans="4:5" s="238" customFormat="1" ht="14.25" x14ac:dyDescent="0.2">
      <c r="D489" s="257"/>
      <c r="E489" s="257"/>
    </row>
    <row r="490" spans="4:5" s="238" customFormat="1" ht="14.25" x14ac:dyDescent="0.2">
      <c r="D490" s="257"/>
      <c r="E490" s="257"/>
    </row>
    <row r="491" spans="4:5" s="238" customFormat="1" ht="14.25" x14ac:dyDescent="0.2">
      <c r="D491" s="257"/>
      <c r="E491" s="257"/>
    </row>
    <row r="492" spans="4:5" s="238" customFormat="1" ht="14.25" x14ac:dyDescent="0.2">
      <c r="D492" s="257"/>
      <c r="E492" s="257"/>
    </row>
    <row r="493" spans="4:5" s="238" customFormat="1" ht="14.25" x14ac:dyDescent="0.2">
      <c r="D493" s="257"/>
      <c r="E493" s="257"/>
    </row>
    <row r="494" spans="4:5" s="238" customFormat="1" ht="14.25" x14ac:dyDescent="0.2">
      <c r="D494" s="257"/>
      <c r="E494" s="257"/>
    </row>
    <row r="495" spans="4:5" s="238" customFormat="1" ht="14.25" x14ac:dyDescent="0.2">
      <c r="D495" s="257"/>
      <c r="E495" s="257"/>
    </row>
    <row r="496" spans="4:5" s="238" customFormat="1" ht="14.25" x14ac:dyDescent="0.2">
      <c r="D496" s="257"/>
      <c r="E496" s="257"/>
    </row>
    <row r="497" spans="4:5" s="238" customFormat="1" ht="14.25" x14ac:dyDescent="0.2">
      <c r="D497" s="257"/>
      <c r="E497" s="257"/>
    </row>
    <row r="498" spans="4:5" s="238" customFormat="1" ht="14.25" x14ac:dyDescent="0.2">
      <c r="D498" s="257"/>
      <c r="E498" s="257"/>
    </row>
    <row r="499" spans="4:5" s="238" customFormat="1" ht="14.25" x14ac:dyDescent="0.2">
      <c r="D499" s="257"/>
      <c r="E499" s="257"/>
    </row>
    <row r="500" spans="4:5" s="238" customFormat="1" ht="14.25" x14ac:dyDescent="0.2">
      <c r="D500" s="257"/>
      <c r="E500" s="257"/>
    </row>
    <row r="501" spans="4:5" s="238" customFormat="1" ht="14.25" x14ac:dyDescent="0.2">
      <c r="D501" s="257"/>
      <c r="E501" s="257"/>
    </row>
    <row r="502" spans="4:5" s="238" customFormat="1" ht="14.25" x14ac:dyDescent="0.2">
      <c r="D502" s="257"/>
      <c r="E502" s="257"/>
    </row>
    <row r="503" spans="4:5" s="238" customFormat="1" ht="14.25" x14ac:dyDescent="0.2">
      <c r="D503" s="257"/>
      <c r="E503" s="257"/>
    </row>
    <row r="504" spans="4:5" s="238" customFormat="1" ht="14.25" x14ac:dyDescent="0.2">
      <c r="D504" s="257"/>
      <c r="E504" s="257"/>
    </row>
    <row r="505" spans="4:5" s="238" customFormat="1" ht="14.25" x14ac:dyDescent="0.2">
      <c r="D505" s="257"/>
      <c r="E505" s="257"/>
    </row>
    <row r="506" spans="4:5" s="238" customFormat="1" ht="14.25" x14ac:dyDescent="0.2">
      <c r="D506" s="257"/>
      <c r="E506" s="257"/>
    </row>
    <row r="507" spans="4:5" s="238" customFormat="1" ht="14.25" x14ac:dyDescent="0.2">
      <c r="D507" s="257"/>
      <c r="E507" s="257"/>
    </row>
    <row r="508" spans="4:5" s="238" customFormat="1" ht="14.25" x14ac:dyDescent="0.2">
      <c r="D508" s="257"/>
      <c r="E508" s="257"/>
    </row>
    <row r="509" spans="4:5" s="238" customFormat="1" ht="14.25" x14ac:dyDescent="0.2">
      <c r="D509" s="257"/>
      <c r="E509" s="257"/>
    </row>
    <row r="510" spans="4:5" s="238" customFormat="1" ht="14.25" x14ac:dyDescent="0.2">
      <c r="D510" s="257"/>
      <c r="E510" s="257"/>
    </row>
    <row r="511" spans="4:5" s="238" customFormat="1" ht="14.25" x14ac:dyDescent="0.2">
      <c r="D511" s="257"/>
      <c r="E511" s="257"/>
    </row>
    <row r="512" spans="4:5" s="238" customFormat="1" ht="14.25" x14ac:dyDescent="0.2">
      <c r="D512" s="257"/>
      <c r="E512" s="257"/>
    </row>
    <row r="513" spans="4:5" s="238" customFormat="1" ht="14.25" x14ac:dyDescent="0.2">
      <c r="D513" s="257"/>
      <c r="E513" s="257"/>
    </row>
    <row r="514" spans="4:5" s="238" customFormat="1" ht="14.25" x14ac:dyDescent="0.2">
      <c r="D514" s="257"/>
      <c r="E514" s="257"/>
    </row>
    <row r="515" spans="4:5" s="238" customFormat="1" ht="14.25" x14ac:dyDescent="0.2">
      <c r="D515" s="257"/>
      <c r="E515" s="257"/>
    </row>
    <row r="516" spans="4:5" s="238" customFormat="1" ht="14.25" x14ac:dyDescent="0.2">
      <c r="D516" s="257"/>
      <c r="E516" s="257"/>
    </row>
    <row r="517" spans="4:5" s="238" customFormat="1" ht="14.25" x14ac:dyDescent="0.2">
      <c r="D517" s="257"/>
      <c r="E517" s="257"/>
    </row>
    <row r="518" spans="4:5" s="238" customFormat="1" ht="14.25" x14ac:dyDescent="0.2">
      <c r="D518" s="257"/>
      <c r="E518" s="257"/>
    </row>
    <row r="519" spans="4:5" s="238" customFormat="1" ht="14.25" x14ac:dyDescent="0.2">
      <c r="D519" s="257"/>
      <c r="E519" s="257"/>
    </row>
    <row r="520" spans="4:5" s="238" customFormat="1" ht="14.25" x14ac:dyDescent="0.2">
      <c r="D520" s="257"/>
      <c r="E520" s="257"/>
    </row>
    <row r="521" spans="4:5" s="238" customFormat="1" ht="14.25" x14ac:dyDescent="0.2">
      <c r="D521" s="257"/>
      <c r="E521" s="257"/>
    </row>
    <row r="522" spans="4:5" s="238" customFormat="1" ht="14.25" x14ac:dyDescent="0.2">
      <c r="D522" s="257"/>
      <c r="E522" s="257"/>
    </row>
    <row r="523" spans="4:5" s="238" customFormat="1" ht="14.25" x14ac:dyDescent="0.2">
      <c r="D523" s="257"/>
      <c r="E523" s="257"/>
    </row>
    <row r="524" spans="4:5" s="238" customFormat="1" ht="14.25" x14ac:dyDescent="0.2">
      <c r="D524" s="257"/>
      <c r="E524" s="257"/>
    </row>
    <row r="525" spans="4:5" s="238" customFormat="1" ht="14.25" x14ac:dyDescent="0.2">
      <c r="D525" s="257"/>
      <c r="E525" s="257"/>
    </row>
    <row r="526" spans="4:5" s="238" customFormat="1" ht="14.25" x14ac:dyDescent="0.2">
      <c r="D526" s="257"/>
      <c r="E526" s="257"/>
    </row>
    <row r="527" spans="4:5" s="238" customFormat="1" ht="14.25" x14ac:dyDescent="0.2">
      <c r="D527" s="257"/>
      <c r="E527" s="257"/>
    </row>
    <row r="528" spans="4:5" s="238" customFormat="1" ht="14.25" x14ac:dyDescent="0.2">
      <c r="D528" s="257"/>
      <c r="E528" s="257"/>
    </row>
    <row r="529" spans="4:5" s="238" customFormat="1" ht="14.25" x14ac:dyDescent="0.2">
      <c r="D529" s="257"/>
      <c r="E529" s="257"/>
    </row>
    <row r="530" spans="4:5" s="238" customFormat="1" ht="14.25" x14ac:dyDescent="0.2">
      <c r="D530" s="257"/>
      <c r="E530" s="257"/>
    </row>
    <row r="531" spans="4:5" s="238" customFormat="1" ht="14.25" x14ac:dyDescent="0.2">
      <c r="D531" s="257"/>
      <c r="E531" s="257"/>
    </row>
    <row r="532" spans="4:5" s="238" customFormat="1" ht="14.25" x14ac:dyDescent="0.2">
      <c r="D532" s="257"/>
      <c r="E532" s="257"/>
    </row>
    <row r="533" spans="4:5" s="238" customFormat="1" ht="14.25" x14ac:dyDescent="0.2">
      <c r="D533" s="257"/>
      <c r="E533" s="257"/>
    </row>
    <row r="534" spans="4:5" s="238" customFormat="1" ht="14.25" x14ac:dyDescent="0.2">
      <c r="D534" s="257"/>
      <c r="E534" s="257"/>
    </row>
    <row r="535" spans="4:5" s="238" customFormat="1" ht="14.25" x14ac:dyDescent="0.2">
      <c r="D535" s="257"/>
      <c r="E535" s="257"/>
    </row>
    <row r="536" spans="4:5" s="238" customFormat="1" ht="14.25" x14ac:dyDescent="0.2">
      <c r="D536" s="257"/>
      <c r="E536" s="257"/>
    </row>
    <row r="537" spans="4:5" s="238" customFormat="1" ht="14.25" x14ac:dyDescent="0.2">
      <c r="D537" s="257"/>
      <c r="E537" s="257"/>
    </row>
    <row r="538" spans="4:5" s="238" customFormat="1" ht="14.25" x14ac:dyDescent="0.2">
      <c r="D538" s="257"/>
      <c r="E538" s="257"/>
    </row>
    <row r="539" spans="4:5" s="238" customFormat="1" ht="14.25" x14ac:dyDescent="0.2">
      <c r="D539" s="257"/>
      <c r="E539" s="257"/>
    </row>
    <row r="540" spans="4:5" s="238" customFormat="1" ht="14.25" x14ac:dyDescent="0.2">
      <c r="D540" s="257"/>
      <c r="E540" s="257"/>
    </row>
    <row r="541" spans="4:5" s="238" customFormat="1" ht="14.25" x14ac:dyDescent="0.2">
      <c r="D541" s="257"/>
      <c r="E541" s="257"/>
    </row>
    <row r="542" spans="4:5" s="238" customFormat="1" ht="14.25" x14ac:dyDescent="0.2">
      <c r="D542" s="257"/>
      <c r="E542" s="257"/>
    </row>
    <row r="543" spans="4:5" s="238" customFormat="1" ht="14.25" x14ac:dyDescent="0.2">
      <c r="D543" s="257"/>
      <c r="E543" s="257"/>
    </row>
    <row r="544" spans="4:5" s="238" customFormat="1" ht="14.25" x14ac:dyDescent="0.2">
      <c r="D544" s="257"/>
      <c r="E544" s="257"/>
    </row>
    <row r="545" spans="4:5" s="238" customFormat="1" ht="14.25" x14ac:dyDescent="0.2">
      <c r="D545" s="257"/>
      <c r="E545" s="257"/>
    </row>
    <row r="546" spans="4:5" s="238" customFormat="1" ht="14.25" x14ac:dyDescent="0.2">
      <c r="D546" s="257"/>
      <c r="E546" s="257"/>
    </row>
    <row r="547" spans="4:5" s="238" customFormat="1" ht="14.25" x14ac:dyDescent="0.2">
      <c r="D547" s="257"/>
      <c r="E547" s="257"/>
    </row>
    <row r="548" spans="4:5" s="238" customFormat="1" ht="14.25" x14ac:dyDescent="0.2">
      <c r="D548" s="257"/>
      <c r="E548" s="257"/>
    </row>
    <row r="549" spans="4:5" s="238" customFormat="1" ht="14.25" x14ac:dyDescent="0.2">
      <c r="D549" s="257"/>
      <c r="E549" s="257"/>
    </row>
    <row r="550" spans="4:5" s="238" customFormat="1" ht="14.25" x14ac:dyDescent="0.2">
      <c r="D550" s="257"/>
      <c r="E550" s="257"/>
    </row>
    <row r="551" spans="4:5" s="238" customFormat="1" ht="14.25" x14ac:dyDescent="0.2">
      <c r="D551" s="257"/>
      <c r="E551" s="257"/>
    </row>
    <row r="552" spans="4:5" s="238" customFormat="1" ht="14.25" x14ac:dyDescent="0.2">
      <c r="D552" s="257"/>
      <c r="E552" s="257"/>
    </row>
    <row r="553" spans="4:5" s="238" customFormat="1" ht="14.25" x14ac:dyDescent="0.2">
      <c r="D553" s="257"/>
      <c r="E553" s="257"/>
    </row>
    <row r="554" spans="4:5" s="238" customFormat="1" ht="14.25" x14ac:dyDescent="0.2">
      <c r="D554" s="257"/>
      <c r="E554" s="257"/>
    </row>
    <row r="555" spans="4:5" s="238" customFormat="1" ht="14.25" x14ac:dyDescent="0.2">
      <c r="D555" s="257"/>
      <c r="E555" s="257"/>
    </row>
    <row r="556" spans="4:5" s="238" customFormat="1" ht="14.25" x14ac:dyDescent="0.2">
      <c r="D556" s="257"/>
      <c r="E556" s="257"/>
    </row>
    <row r="557" spans="4:5" s="238" customFormat="1" ht="14.25" x14ac:dyDescent="0.2">
      <c r="D557" s="257"/>
      <c r="E557" s="257"/>
    </row>
    <row r="558" spans="4:5" s="238" customFormat="1" ht="14.25" x14ac:dyDescent="0.2">
      <c r="D558" s="257"/>
      <c r="E558" s="257"/>
    </row>
    <row r="559" spans="4:5" s="238" customFormat="1" ht="14.25" x14ac:dyDescent="0.2">
      <c r="D559" s="257"/>
      <c r="E559" s="257"/>
    </row>
    <row r="560" spans="4:5" s="238" customFormat="1" ht="14.25" x14ac:dyDescent="0.2">
      <c r="D560" s="257"/>
      <c r="E560" s="257"/>
    </row>
    <row r="561" spans="4:5" s="238" customFormat="1" ht="14.25" x14ac:dyDescent="0.2">
      <c r="D561" s="257"/>
      <c r="E561" s="257"/>
    </row>
    <row r="562" spans="4:5" s="238" customFormat="1" ht="14.25" x14ac:dyDescent="0.2">
      <c r="D562" s="257"/>
      <c r="E562" s="257"/>
    </row>
    <row r="563" spans="4:5" s="238" customFormat="1" ht="14.25" x14ac:dyDescent="0.2">
      <c r="D563" s="257"/>
      <c r="E563" s="257"/>
    </row>
    <row r="564" spans="4:5" s="238" customFormat="1" ht="14.25" x14ac:dyDescent="0.2">
      <c r="D564" s="257"/>
      <c r="E564" s="257"/>
    </row>
    <row r="565" spans="4:5" s="238" customFormat="1" ht="14.25" x14ac:dyDescent="0.2">
      <c r="D565" s="257"/>
      <c r="E565" s="257"/>
    </row>
    <row r="566" spans="4:5" s="238" customFormat="1" ht="14.25" x14ac:dyDescent="0.2">
      <c r="D566" s="257"/>
      <c r="E566" s="257"/>
    </row>
    <row r="567" spans="4:5" s="238" customFormat="1" ht="14.25" x14ac:dyDescent="0.2">
      <c r="D567" s="257"/>
      <c r="E567" s="257"/>
    </row>
    <row r="568" spans="4:5" s="238" customFormat="1" ht="14.25" x14ac:dyDescent="0.2">
      <c r="D568" s="257"/>
      <c r="E568" s="257"/>
    </row>
    <row r="569" spans="4:5" s="238" customFormat="1" ht="14.25" x14ac:dyDescent="0.2">
      <c r="D569" s="257"/>
      <c r="E569" s="257"/>
    </row>
    <row r="570" spans="4:5" s="238" customFormat="1" ht="14.25" x14ac:dyDescent="0.2">
      <c r="D570" s="257"/>
      <c r="E570" s="257"/>
    </row>
    <row r="571" spans="4:5" s="238" customFormat="1" ht="14.25" x14ac:dyDescent="0.2">
      <c r="D571" s="257"/>
      <c r="E571" s="257"/>
    </row>
    <row r="572" spans="4:5" s="238" customFormat="1" ht="14.25" x14ac:dyDescent="0.2">
      <c r="D572" s="257"/>
      <c r="E572" s="257"/>
    </row>
    <row r="573" spans="4:5" s="238" customFormat="1" ht="14.25" x14ac:dyDescent="0.2">
      <c r="D573" s="257"/>
      <c r="E573" s="257"/>
    </row>
    <row r="574" spans="4:5" s="238" customFormat="1" ht="14.25" x14ac:dyDescent="0.2">
      <c r="D574" s="257"/>
      <c r="E574" s="257"/>
    </row>
    <row r="575" spans="4:5" s="238" customFormat="1" ht="14.25" x14ac:dyDescent="0.2">
      <c r="D575" s="257"/>
      <c r="E575" s="257"/>
    </row>
    <row r="576" spans="4:5" s="238" customFormat="1" ht="14.25" x14ac:dyDescent="0.2">
      <c r="D576" s="257"/>
      <c r="E576" s="257"/>
    </row>
    <row r="577" spans="4:5" s="238" customFormat="1" ht="14.25" x14ac:dyDescent="0.2">
      <c r="D577" s="257"/>
      <c r="E577" s="257"/>
    </row>
    <row r="578" spans="4:5" s="238" customFormat="1" ht="14.25" x14ac:dyDescent="0.2">
      <c r="D578" s="257"/>
      <c r="E578" s="257"/>
    </row>
    <row r="579" spans="4:5" s="238" customFormat="1" ht="14.25" x14ac:dyDescent="0.2">
      <c r="D579" s="257"/>
      <c r="E579" s="257"/>
    </row>
    <row r="580" spans="4:5" s="238" customFormat="1" ht="14.25" x14ac:dyDescent="0.2">
      <c r="D580" s="257"/>
      <c r="E580" s="257"/>
    </row>
    <row r="581" spans="4:5" s="238" customFormat="1" ht="14.25" x14ac:dyDescent="0.2">
      <c r="D581" s="257"/>
      <c r="E581" s="257"/>
    </row>
    <row r="582" spans="4:5" s="238" customFormat="1" ht="14.25" x14ac:dyDescent="0.2">
      <c r="D582" s="257"/>
      <c r="E582" s="257"/>
    </row>
    <row r="583" spans="4:5" s="238" customFormat="1" ht="14.25" x14ac:dyDescent="0.2">
      <c r="D583" s="257"/>
      <c r="E583" s="257"/>
    </row>
    <row r="584" spans="4:5" s="238" customFormat="1" ht="14.25" x14ac:dyDescent="0.2">
      <c r="D584" s="257"/>
      <c r="E584" s="257"/>
    </row>
    <row r="585" spans="4:5" s="238" customFormat="1" ht="14.25" x14ac:dyDescent="0.2">
      <c r="D585" s="257"/>
      <c r="E585" s="257"/>
    </row>
    <row r="586" spans="4:5" s="238" customFormat="1" ht="14.25" x14ac:dyDescent="0.2">
      <c r="D586" s="257"/>
      <c r="E586" s="257"/>
    </row>
    <row r="587" spans="4:5" s="238" customFormat="1" ht="14.25" x14ac:dyDescent="0.2">
      <c r="D587" s="257"/>
      <c r="E587" s="257"/>
    </row>
    <row r="588" spans="4:5" s="238" customFormat="1" ht="14.25" x14ac:dyDescent="0.2">
      <c r="D588" s="257"/>
      <c r="E588" s="257"/>
    </row>
    <row r="589" spans="4:5" s="238" customFormat="1" ht="14.25" x14ac:dyDescent="0.2">
      <c r="D589" s="257"/>
      <c r="E589" s="257"/>
    </row>
    <row r="590" spans="4:5" s="238" customFormat="1" ht="14.25" x14ac:dyDescent="0.2">
      <c r="D590" s="257"/>
      <c r="E590" s="257"/>
    </row>
    <row r="591" spans="4:5" s="238" customFormat="1" ht="14.25" x14ac:dyDescent="0.2">
      <c r="D591" s="257"/>
      <c r="E591" s="257"/>
    </row>
    <row r="592" spans="4:5" s="238" customFormat="1" ht="14.25" x14ac:dyDescent="0.2">
      <c r="D592" s="257"/>
      <c r="E592" s="257"/>
    </row>
    <row r="593" spans="4:5" s="238" customFormat="1" ht="14.25" x14ac:dyDescent="0.2">
      <c r="D593" s="257"/>
      <c r="E593" s="257"/>
    </row>
    <row r="594" spans="4:5" s="238" customFormat="1" ht="14.25" x14ac:dyDescent="0.2">
      <c r="D594" s="257"/>
      <c r="E594" s="257"/>
    </row>
    <row r="595" spans="4:5" s="238" customFormat="1" ht="14.25" x14ac:dyDescent="0.2">
      <c r="D595" s="257"/>
      <c r="E595" s="257"/>
    </row>
    <row r="596" spans="4:5" s="238" customFormat="1" ht="14.25" x14ac:dyDescent="0.2">
      <c r="D596" s="257"/>
      <c r="E596" s="257"/>
    </row>
    <row r="597" spans="4:5" s="238" customFormat="1" ht="14.25" x14ac:dyDescent="0.2">
      <c r="D597" s="257"/>
      <c r="E597" s="257"/>
    </row>
    <row r="598" spans="4:5" s="238" customFormat="1" ht="14.25" x14ac:dyDescent="0.2">
      <c r="D598" s="257"/>
      <c r="E598" s="257"/>
    </row>
    <row r="599" spans="4:5" s="238" customFormat="1" ht="14.25" x14ac:dyDescent="0.2">
      <c r="D599" s="257"/>
      <c r="E599" s="257"/>
    </row>
    <row r="600" spans="4:5" s="238" customFormat="1" ht="14.25" x14ac:dyDescent="0.2">
      <c r="D600" s="257"/>
      <c r="E600" s="257"/>
    </row>
    <row r="601" spans="4:5" s="238" customFormat="1" ht="14.25" x14ac:dyDescent="0.2">
      <c r="D601" s="257"/>
      <c r="E601" s="257"/>
    </row>
    <row r="602" spans="4:5" s="238" customFormat="1" ht="14.25" x14ac:dyDescent="0.2">
      <c r="D602" s="257"/>
      <c r="E602" s="257"/>
    </row>
    <row r="603" spans="4:5" s="238" customFormat="1" ht="14.25" x14ac:dyDescent="0.2">
      <c r="D603" s="257"/>
      <c r="E603" s="257"/>
    </row>
    <row r="604" spans="4:5" s="238" customFormat="1" ht="14.25" x14ac:dyDescent="0.2">
      <c r="D604" s="257"/>
      <c r="E604" s="257"/>
    </row>
    <row r="605" spans="4:5" s="238" customFormat="1" ht="14.25" x14ac:dyDescent="0.2">
      <c r="D605" s="257"/>
      <c r="E605" s="257"/>
    </row>
    <row r="606" spans="4:5" s="238" customFormat="1" ht="14.25" x14ac:dyDescent="0.2">
      <c r="D606" s="257"/>
      <c r="E606" s="257"/>
    </row>
    <row r="607" spans="4:5" s="238" customFormat="1" ht="14.25" x14ac:dyDescent="0.2">
      <c r="D607" s="257"/>
      <c r="E607" s="257"/>
    </row>
    <row r="608" spans="4:5" s="238" customFormat="1" ht="14.25" x14ac:dyDescent="0.2">
      <c r="D608" s="257"/>
      <c r="E608" s="257"/>
    </row>
    <row r="609" spans="4:5" s="238" customFormat="1" ht="14.25" x14ac:dyDescent="0.2">
      <c r="D609" s="257"/>
      <c r="E609" s="257"/>
    </row>
    <row r="610" spans="4:5" s="238" customFormat="1" ht="14.25" x14ac:dyDescent="0.2">
      <c r="D610" s="257"/>
      <c r="E610" s="257"/>
    </row>
    <row r="611" spans="4:5" s="238" customFormat="1" ht="14.25" x14ac:dyDescent="0.2">
      <c r="D611" s="257"/>
      <c r="E611" s="257"/>
    </row>
    <row r="612" spans="4:5" s="238" customFormat="1" ht="14.25" x14ac:dyDescent="0.2">
      <c r="D612" s="257"/>
      <c r="E612" s="257"/>
    </row>
    <row r="613" spans="4:5" s="238" customFormat="1" ht="14.25" x14ac:dyDescent="0.2">
      <c r="D613" s="257"/>
      <c r="E613" s="257"/>
    </row>
    <row r="614" spans="4:5" s="238" customFormat="1" ht="14.25" x14ac:dyDescent="0.2">
      <c r="D614" s="257"/>
      <c r="E614" s="257"/>
    </row>
    <row r="615" spans="4:5" s="238" customFormat="1" ht="14.25" x14ac:dyDescent="0.2">
      <c r="D615" s="257"/>
      <c r="E615" s="257"/>
    </row>
    <row r="616" spans="4:5" s="238" customFormat="1" ht="14.25" x14ac:dyDescent="0.2">
      <c r="D616" s="257"/>
      <c r="E616" s="257"/>
    </row>
    <row r="617" spans="4:5" s="238" customFormat="1" ht="14.25" x14ac:dyDescent="0.2">
      <c r="D617" s="257"/>
      <c r="E617" s="257"/>
    </row>
    <row r="618" spans="4:5" s="238" customFormat="1" ht="14.25" x14ac:dyDescent="0.2">
      <c r="D618" s="257"/>
      <c r="E618" s="257"/>
    </row>
    <row r="619" spans="4:5" s="238" customFormat="1" ht="14.25" x14ac:dyDescent="0.2">
      <c r="D619" s="257"/>
      <c r="E619" s="257"/>
    </row>
    <row r="620" spans="4:5" s="238" customFormat="1" ht="14.25" x14ac:dyDescent="0.2">
      <c r="D620" s="257"/>
      <c r="E620" s="257"/>
    </row>
    <row r="621" spans="4:5" s="238" customFormat="1" ht="14.25" x14ac:dyDescent="0.2">
      <c r="D621" s="257"/>
      <c r="E621" s="257"/>
    </row>
    <row r="622" spans="4:5" s="238" customFormat="1" ht="14.25" x14ac:dyDescent="0.2">
      <c r="D622" s="257"/>
      <c r="E622" s="257"/>
    </row>
    <row r="623" spans="4:5" s="238" customFormat="1" ht="14.25" x14ac:dyDescent="0.2">
      <c r="D623" s="257"/>
      <c r="E623" s="257"/>
    </row>
    <row r="624" spans="4:5" s="238" customFormat="1" ht="14.25" x14ac:dyDescent="0.2">
      <c r="D624" s="257"/>
      <c r="E624" s="257"/>
    </row>
    <row r="625" spans="4:5" s="238" customFormat="1" ht="14.25" x14ac:dyDescent="0.2">
      <c r="D625" s="257"/>
      <c r="E625" s="257"/>
    </row>
    <row r="626" spans="4:5" s="238" customFormat="1" ht="14.25" x14ac:dyDescent="0.2">
      <c r="D626" s="257"/>
      <c r="E626" s="257"/>
    </row>
    <row r="627" spans="4:5" s="238" customFormat="1" ht="14.25" x14ac:dyDescent="0.2">
      <c r="D627" s="257"/>
      <c r="E627" s="257"/>
    </row>
    <row r="628" spans="4:5" s="238" customFormat="1" ht="14.25" x14ac:dyDescent="0.2">
      <c r="D628" s="257"/>
      <c r="E628" s="257"/>
    </row>
    <row r="629" spans="4:5" s="238" customFormat="1" ht="14.25" x14ac:dyDescent="0.2">
      <c r="D629" s="257"/>
      <c r="E629" s="257"/>
    </row>
    <row r="630" spans="4:5" s="238" customFormat="1" ht="14.25" x14ac:dyDescent="0.2">
      <c r="D630" s="257"/>
      <c r="E630" s="257"/>
    </row>
    <row r="631" spans="4:5" s="238" customFormat="1" ht="14.25" x14ac:dyDescent="0.2">
      <c r="D631" s="257"/>
      <c r="E631" s="257"/>
    </row>
    <row r="632" spans="4:5" s="238" customFormat="1" ht="14.25" x14ac:dyDescent="0.2">
      <c r="D632" s="257"/>
      <c r="E632" s="257"/>
    </row>
    <row r="633" spans="4:5" s="238" customFormat="1" ht="14.25" x14ac:dyDescent="0.2">
      <c r="D633" s="257"/>
      <c r="E633" s="257"/>
    </row>
    <row r="634" spans="4:5" s="238" customFormat="1" ht="14.25" x14ac:dyDescent="0.2">
      <c r="D634" s="257"/>
      <c r="E634" s="257"/>
    </row>
    <row r="635" spans="4:5" s="238" customFormat="1" ht="14.25" x14ac:dyDescent="0.2">
      <c r="D635" s="257"/>
      <c r="E635" s="257"/>
    </row>
    <row r="636" spans="4:5" s="238" customFormat="1" ht="14.25" x14ac:dyDescent="0.2">
      <c r="D636" s="257"/>
      <c r="E636" s="257"/>
    </row>
    <row r="637" spans="4:5" s="238" customFormat="1" ht="14.25" x14ac:dyDescent="0.2">
      <c r="D637" s="257"/>
      <c r="E637" s="257"/>
    </row>
    <row r="638" spans="4:5" s="238" customFormat="1" ht="14.25" x14ac:dyDescent="0.2">
      <c r="D638" s="257"/>
      <c r="E638" s="257"/>
    </row>
    <row r="639" spans="4:5" s="238" customFormat="1" ht="14.25" x14ac:dyDescent="0.2">
      <c r="D639" s="257"/>
      <c r="E639" s="257"/>
    </row>
    <row r="640" spans="4:5" s="238" customFormat="1" ht="14.25" x14ac:dyDescent="0.2">
      <c r="D640" s="257"/>
      <c r="E640" s="257"/>
    </row>
    <row r="641" spans="4:5" s="238" customFormat="1" ht="14.25" x14ac:dyDescent="0.2">
      <c r="D641" s="257"/>
      <c r="E641" s="257"/>
    </row>
    <row r="642" spans="4:5" s="238" customFormat="1" ht="14.25" x14ac:dyDescent="0.2">
      <c r="D642" s="257"/>
      <c r="E642" s="257"/>
    </row>
    <row r="643" spans="4:5" s="238" customFormat="1" ht="14.25" x14ac:dyDescent="0.2">
      <c r="D643" s="257"/>
      <c r="E643" s="257"/>
    </row>
    <row r="644" spans="4:5" s="238" customFormat="1" ht="14.25" x14ac:dyDescent="0.2">
      <c r="D644" s="257"/>
      <c r="E644" s="257"/>
    </row>
    <row r="645" spans="4:5" s="238" customFormat="1" ht="14.25" x14ac:dyDescent="0.2">
      <c r="D645" s="257"/>
      <c r="E645" s="257"/>
    </row>
    <row r="646" spans="4:5" s="238" customFormat="1" ht="14.25" x14ac:dyDescent="0.2">
      <c r="D646" s="257"/>
      <c r="E646" s="257"/>
    </row>
    <row r="647" spans="4:5" s="238" customFormat="1" ht="14.25" x14ac:dyDescent="0.2">
      <c r="D647" s="257"/>
      <c r="E647" s="257"/>
    </row>
    <row r="648" spans="4:5" s="238" customFormat="1" ht="14.25" x14ac:dyDescent="0.2">
      <c r="D648" s="257"/>
      <c r="E648" s="257"/>
    </row>
    <row r="649" spans="4:5" s="238" customFormat="1" ht="14.25" x14ac:dyDescent="0.2">
      <c r="D649" s="257"/>
      <c r="E649" s="257"/>
    </row>
    <row r="650" spans="4:5" s="238" customFormat="1" ht="14.25" x14ac:dyDescent="0.2">
      <c r="D650" s="257"/>
      <c r="E650" s="257"/>
    </row>
    <row r="651" spans="4:5" s="238" customFormat="1" ht="14.25" x14ac:dyDescent="0.2">
      <c r="D651" s="257"/>
      <c r="E651" s="257"/>
    </row>
    <row r="652" spans="4:5" s="238" customFormat="1" ht="14.25" x14ac:dyDescent="0.2">
      <c r="D652" s="257"/>
      <c r="E652" s="257"/>
    </row>
    <row r="653" spans="4:5" s="238" customFormat="1" ht="14.25" x14ac:dyDescent="0.2">
      <c r="D653" s="257"/>
      <c r="E653" s="257"/>
    </row>
    <row r="654" spans="4:5" s="238" customFormat="1" ht="14.25" x14ac:dyDescent="0.2">
      <c r="D654" s="257"/>
      <c r="E654" s="257"/>
    </row>
    <row r="655" spans="4:5" s="238" customFormat="1" ht="14.25" x14ac:dyDescent="0.2">
      <c r="D655" s="257"/>
      <c r="E655" s="257"/>
    </row>
    <row r="656" spans="4:5" s="238" customFormat="1" ht="14.25" x14ac:dyDescent="0.2">
      <c r="D656" s="257"/>
      <c r="E656" s="257"/>
    </row>
    <row r="657" spans="4:5" s="238" customFormat="1" ht="14.25" x14ac:dyDescent="0.2">
      <c r="D657" s="257"/>
      <c r="E657" s="257"/>
    </row>
    <row r="658" spans="4:5" s="238" customFormat="1" ht="14.25" x14ac:dyDescent="0.2">
      <c r="D658" s="257"/>
      <c r="E658" s="257"/>
    </row>
    <row r="659" spans="4:5" s="238" customFormat="1" ht="14.25" x14ac:dyDescent="0.2">
      <c r="D659" s="257"/>
      <c r="E659" s="257"/>
    </row>
    <row r="660" spans="4:5" s="238" customFormat="1" ht="14.25" x14ac:dyDescent="0.2">
      <c r="D660" s="257"/>
      <c r="E660" s="257"/>
    </row>
    <row r="661" spans="4:5" s="238" customFormat="1" ht="14.25" x14ac:dyDescent="0.2">
      <c r="D661" s="257"/>
      <c r="E661" s="257"/>
    </row>
    <row r="662" spans="4:5" s="238" customFormat="1" ht="14.25" x14ac:dyDescent="0.2">
      <c r="D662" s="257"/>
      <c r="E662" s="257"/>
    </row>
    <row r="663" spans="4:5" s="238" customFormat="1" ht="14.25" x14ac:dyDescent="0.2">
      <c r="D663" s="257"/>
      <c r="E663" s="257"/>
    </row>
    <row r="664" spans="4:5" s="238" customFormat="1" ht="14.25" x14ac:dyDescent="0.2">
      <c r="D664" s="257"/>
      <c r="E664" s="257"/>
    </row>
    <row r="665" spans="4:5" s="238" customFormat="1" ht="14.25" x14ac:dyDescent="0.2">
      <c r="D665" s="257"/>
      <c r="E665" s="257"/>
    </row>
    <row r="666" spans="4:5" s="238" customFormat="1" ht="14.25" x14ac:dyDescent="0.2">
      <c r="D666" s="257"/>
      <c r="E666" s="257"/>
    </row>
    <row r="667" spans="4:5" s="238" customFormat="1" ht="14.25" x14ac:dyDescent="0.2">
      <c r="D667" s="257"/>
      <c r="E667" s="257"/>
    </row>
    <row r="668" spans="4:5" s="238" customFormat="1" ht="14.25" x14ac:dyDescent="0.2">
      <c r="D668" s="257"/>
      <c r="E668" s="257"/>
    </row>
    <row r="669" spans="4:5" s="238" customFormat="1" ht="14.25" x14ac:dyDescent="0.2">
      <c r="D669" s="257"/>
      <c r="E669" s="257"/>
    </row>
    <row r="670" spans="4:5" s="238" customFormat="1" ht="14.25" x14ac:dyDescent="0.2">
      <c r="D670" s="257"/>
      <c r="E670" s="257"/>
    </row>
    <row r="671" spans="4:5" s="238" customFormat="1" ht="14.25" x14ac:dyDescent="0.2">
      <c r="D671" s="257"/>
      <c r="E671" s="257"/>
    </row>
    <row r="672" spans="4:5" s="238" customFormat="1" ht="14.25" x14ac:dyDescent="0.2">
      <c r="D672" s="257"/>
      <c r="E672" s="257"/>
    </row>
    <row r="673" spans="4:5" s="238" customFormat="1" ht="14.25" x14ac:dyDescent="0.2">
      <c r="D673" s="257"/>
      <c r="E673" s="257"/>
    </row>
    <row r="674" spans="4:5" s="238" customFormat="1" ht="14.25" x14ac:dyDescent="0.2">
      <c r="D674" s="257"/>
      <c r="E674" s="257"/>
    </row>
    <row r="675" spans="4:5" s="238" customFormat="1" ht="14.25" x14ac:dyDescent="0.2">
      <c r="D675" s="257"/>
      <c r="E675" s="257"/>
    </row>
    <row r="676" spans="4:5" s="238" customFormat="1" ht="14.25" x14ac:dyDescent="0.2">
      <c r="D676" s="257"/>
      <c r="E676" s="257"/>
    </row>
    <row r="677" spans="4:5" s="238" customFormat="1" ht="14.25" x14ac:dyDescent="0.2">
      <c r="D677" s="257"/>
      <c r="E677" s="257"/>
    </row>
    <row r="678" spans="4:5" s="238" customFormat="1" ht="14.25" x14ac:dyDescent="0.2">
      <c r="D678" s="257"/>
      <c r="E678" s="257"/>
    </row>
    <row r="679" spans="4:5" s="238" customFormat="1" ht="14.25" x14ac:dyDescent="0.2">
      <c r="D679" s="257"/>
      <c r="E679" s="257"/>
    </row>
    <row r="680" spans="4:5" s="238" customFormat="1" ht="14.25" x14ac:dyDescent="0.2">
      <c r="D680" s="257"/>
      <c r="E680" s="257"/>
    </row>
    <row r="681" spans="4:5" s="238" customFormat="1" ht="14.25" x14ac:dyDescent="0.2">
      <c r="D681" s="257"/>
      <c r="E681" s="257"/>
    </row>
    <row r="682" spans="4:5" s="238" customFormat="1" ht="14.25" x14ac:dyDescent="0.2">
      <c r="D682" s="257"/>
      <c r="E682" s="257"/>
    </row>
    <row r="683" spans="4:5" s="238" customFormat="1" ht="14.25" x14ac:dyDescent="0.2">
      <c r="D683" s="257"/>
      <c r="E683" s="257"/>
    </row>
    <row r="684" spans="4:5" s="238" customFormat="1" ht="14.25" x14ac:dyDescent="0.2">
      <c r="D684" s="257"/>
      <c r="E684" s="257"/>
    </row>
    <row r="685" spans="4:5" s="238" customFormat="1" ht="14.25" x14ac:dyDescent="0.2">
      <c r="D685" s="257"/>
      <c r="E685" s="257"/>
    </row>
    <row r="686" spans="4:5" s="238" customFormat="1" ht="14.25" x14ac:dyDescent="0.2">
      <c r="D686" s="257"/>
      <c r="E686" s="257"/>
    </row>
    <row r="687" spans="4:5" s="238" customFormat="1" ht="14.25" x14ac:dyDescent="0.2">
      <c r="D687" s="257"/>
      <c r="E687" s="257"/>
    </row>
    <row r="688" spans="4:5" s="238" customFormat="1" ht="14.25" x14ac:dyDescent="0.2">
      <c r="D688" s="257"/>
      <c r="E688" s="257"/>
    </row>
    <row r="689" spans="4:5" s="238" customFormat="1" ht="14.25" x14ac:dyDescent="0.2">
      <c r="D689" s="257"/>
      <c r="E689" s="257"/>
    </row>
    <row r="690" spans="4:5" s="238" customFormat="1" ht="14.25" x14ac:dyDescent="0.2">
      <c r="D690" s="257"/>
      <c r="E690" s="257"/>
    </row>
    <row r="691" spans="4:5" s="238" customFormat="1" ht="14.25" x14ac:dyDescent="0.2">
      <c r="D691" s="257"/>
      <c r="E691" s="257"/>
    </row>
    <row r="692" spans="4:5" s="238" customFormat="1" ht="14.25" x14ac:dyDescent="0.2">
      <c r="D692" s="257"/>
      <c r="E692" s="257"/>
    </row>
    <row r="693" spans="4:5" s="238" customFormat="1" ht="14.25" x14ac:dyDescent="0.2">
      <c r="D693" s="257"/>
      <c r="E693" s="257"/>
    </row>
    <row r="694" spans="4:5" s="238" customFormat="1" ht="14.25" x14ac:dyDescent="0.2">
      <c r="D694" s="257"/>
      <c r="E694" s="257"/>
    </row>
    <row r="695" spans="4:5" s="238" customFormat="1" ht="14.25" x14ac:dyDescent="0.2">
      <c r="D695" s="257"/>
      <c r="E695" s="257"/>
    </row>
    <row r="696" spans="4:5" s="238" customFormat="1" ht="14.25" x14ac:dyDescent="0.2">
      <c r="D696" s="257"/>
      <c r="E696" s="257"/>
    </row>
    <row r="697" spans="4:5" s="238" customFormat="1" ht="14.25" x14ac:dyDescent="0.2">
      <c r="D697" s="257"/>
      <c r="E697" s="257"/>
    </row>
    <row r="698" spans="4:5" s="238" customFormat="1" ht="14.25" x14ac:dyDescent="0.2">
      <c r="D698" s="257"/>
      <c r="E698" s="257"/>
    </row>
    <row r="699" spans="4:5" s="238" customFormat="1" ht="14.25" x14ac:dyDescent="0.2">
      <c r="D699" s="257"/>
      <c r="E699" s="257"/>
    </row>
    <row r="700" spans="4:5" s="238" customFormat="1" ht="14.25" x14ac:dyDescent="0.2">
      <c r="D700" s="257"/>
      <c r="E700" s="257"/>
    </row>
    <row r="701" spans="4:5" s="238" customFormat="1" ht="14.25" x14ac:dyDescent="0.2">
      <c r="D701" s="257"/>
      <c r="E701" s="257"/>
    </row>
    <row r="702" spans="4:5" s="238" customFormat="1" ht="14.25" x14ac:dyDescent="0.2">
      <c r="D702" s="257"/>
      <c r="E702" s="257"/>
    </row>
    <row r="703" spans="4:5" s="238" customFormat="1" ht="14.25" x14ac:dyDescent="0.2">
      <c r="D703" s="257"/>
      <c r="E703" s="257"/>
    </row>
    <row r="704" spans="4:5" s="238" customFormat="1" ht="14.25" x14ac:dyDescent="0.2">
      <c r="D704" s="257"/>
      <c r="E704" s="257"/>
    </row>
    <row r="705" spans="4:5" s="238" customFormat="1" ht="14.25" x14ac:dyDescent="0.2">
      <c r="D705" s="257"/>
      <c r="E705" s="257"/>
    </row>
    <row r="706" spans="4:5" s="238" customFormat="1" ht="14.25" x14ac:dyDescent="0.2">
      <c r="D706" s="257"/>
      <c r="E706" s="257"/>
    </row>
    <row r="707" spans="4:5" s="238" customFormat="1" ht="14.25" x14ac:dyDescent="0.2">
      <c r="D707" s="257"/>
      <c r="E707" s="257"/>
    </row>
    <row r="708" spans="4:5" s="238" customFormat="1" ht="14.25" x14ac:dyDescent="0.2">
      <c r="D708" s="257"/>
      <c r="E708" s="257"/>
    </row>
    <row r="709" spans="4:5" s="238" customFormat="1" ht="14.25" x14ac:dyDescent="0.2">
      <c r="D709" s="257"/>
      <c r="E709" s="257"/>
    </row>
    <row r="710" spans="4:5" s="238" customFormat="1" ht="14.25" x14ac:dyDescent="0.2">
      <c r="D710" s="257"/>
      <c r="E710" s="257"/>
    </row>
    <row r="711" spans="4:5" s="238" customFormat="1" ht="14.25" x14ac:dyDescent="0.2">
      <c r="D711" s="257"/>
      <c r="E711" s="257"/>
    </row>
    <row r="712" spans="4:5" s="238" customFormat="1" ht="14.25" x14ac:dyDescent="0.2">
      <c r="D712" s="257"/>
      <c r="E712" s="257"/>
    </row>
    <row r="713" spans="4:5" s="238" customFormat="1" ht="14.25" x14ac:dyDescent="0.2">
      <c r="D713" s="257"/>
      <c r="E713" s="257"/>
    </row>
    <row r="714" spans="4:5" s="238" customFormat="1" ht="14.25" x14ac:dyDescent="0.2">
      <c r="D714" s="257"/>
      <c r="E714" s="257"/>
    </row>
    <row r="715" spans="4:5" s="238" customFormat="1" ht="14.25" x14ac:dyDescent="0.2">
      <c r="D715" s="257"/>
      <c r="E715" s="257"/>
    </row>
    <row r="716" spans="4:5" s="238" customFormat="1" ht="14.25" x14ac:dyDescent="0.2">
      <c r="D716" s="257"/>
      <c r="E716" s="257"/>
    </row>
    <row r="717" spans="4:5" s="238" customFormat="1" ht="14.25" x14ac:dyDescent="0.2">
      <c r="D717" s="257"/>
      <c r="E717" s="257"/>
    </row>
    <row r="718" spans="4:5" s="238" customFormat="1" ht="14.25" x14ac:dyDescent="0.2">
      <c r="D718" s="257"/>
      <c r="E718" s="257"/>
    </row>
    <row r="719" spans="4:5" s="238" customFormat="1" ht="14.25" x14ac:dyDescent="0.2">
      <c r="D719" s="257"/>
      <c r="E719" s="257"/>
    </row>
    <row r="720" spans="4:5" s="238" customFormat="1" ht="14.25" x14ac:dyDescent="0.2">
      <c r="D720" s="257"/>
      <c r="E720" s="257"/>
    </row>
    <row r="721" spans="4:5" s="238" customFormat="1" ht="14.25" x14ac:dyDescent="0.2">
      <c r="D721" s="257"/>
      <c r="E721" s="257"/>
    </row>
    <row r="722" spans="4:5" s="238" customFormat="1" ht="14.25" x14ac:dyDescent="0.2">
      <c r="D722" s="257"/>
      <c r="E722" s="257"/>
    </row>
    <row r="723" spans="4:5" s="238" customFormat="1" ht="14.25" x14ac:dyDescent="0.2">
      <c r="D723" s="257"/>
      <c r="E723" s="257"/>
    </row>
    <row r="724" spans="4:5" s="238" customFormat="1" ht="14.25" x14ac:dyDescent="0.2">
      <c r="D724" s="257"/>
      <c r="E724" s="257"/>
    </row>
    <row r="725" spans="4:5" s="238" customFormat="1" ht="14.25" x14ac:dyDescent="0.2">
      <c r="D725" s="257"/>
      <c r="E725" s="257"/>
    </row>
    <row r="726" spans="4:5" s="238" customFormat="1" ht="14.25" x14ac:dyDescent="0.2">
      <c r="D726" s="257"/>
      <c r="E726" s="257"/>
    </row>
    <row r="727" spans="4:5" s="238" customFormat="1" ht="14.25" x14ac:dyDescent="0.2">
      <c r="D727" s="257"/>
      <c r="E727" s="257"/>
    </row>
    <row r="728" spans="4:5" s="238" customFormat="1" ht="14.25" x14ac:dyDescent="0.2">
      <c r="D728" s="257"/>
      <c r="E728" s="257"/>
    </row>
    <row r="729" spans="4:5" s="238" customFormat="1" ht="14.25" x14ac:dyDescent="0.2">
      <c r="D729" s="257"/>
      <c r="E729" s="257"/>
    </row>
    <row r="730" spans="4:5" s="238" customFormat="1" ht="14.25" x14ac:dyDescent="0.2">
      <c r="D730" s="257"/>
      <c r="E730" s="257"/>
    </row>
    <row r="731" spans="4:5" s="238" customFormat="1" ht="14.25" x14ac:dyDescent="0.2">
      <c r="D731" s="257"/>
      <c r="E731" s="257"/>
    </row>
    <row r="732" spans="4:5" s="238" customFormat="1" ht="14.25" x14ac:dyDescent="0.2">
      <c r="D732" s="257"/>
      <c r="E732" s="257"/>
    </row>
    <row r="733" spans="4:5" s="238" customFormat="1" ht="14.25" x14ac:dyDescent="0.2">
      <c r="D733" s="257"/>
      <c r="E733" s="257"/>
    </row>
    <row r="734" spans="4:5" s="238" customFormat="1" ht="14.25" x14ac:dyDescent="0.2">
      <c r="D734" s="257"/>
      <c r="E734" s="257"/>
    </row>
    <row r="735" spans="4:5" s="238" customFormat="1" ht="14.25" x14ac:dyDescent="0.2">
      <c r="D735" s="257"/>
      <c r="E735" s="257"/>
    </row>
    <row r="736" spans="4:5" s="238" customFormat="1" ht="14.25" x14ac:dyDescent="0.2">
      <c r="D736" s="257"/>
      <c r="E736" s="257"/>
    </row>
    <row r="737" spans="4:5" s="238" customFormat="1" ht="14.25" x14ac:dyDescent="0.2">
      <c r="D737" s="257"/>
      <c r="E737" s="257"/>
    </row>
    <row r="738" spans="4:5" s="238" customFormat="1" ht="14.25" x14ac:dyDescent="0.2">
      <c r="D738" s="257"/>
      <c r="E738" s="257"/>
    </row>
    <row r="739" spans="4:5" s="238" customFormat="1" ht="14.25" x14ac:dyDescent="0.2">
      <c r="D739" s="257"/>
      <c r="E739" s="257"/>
    </row>
    <row r="740" spans="4:5" s="238" customFormat="1" ht="14.25" x14ac:dyDescent="0.2">
      <c r="D740" s="257"/>
      <c r="E740" s="257"/>
    </row>
    <row r="741" spans="4:5" s="238" customFormat="1" ht="14.25" x14ac:dyDescent="0.2">
      <c r="D741" s="257"/>
      <c r="E741" s="257"/>
    </row>
    <row r="742" spans="4:5" s="238" customFormat="1" ht="14.25" x14ac:dyDescent="0.2">
      <c r="D742" s="257"/>
      <c r="E742" s="257"/>
    </row>
    <row r="743" spans="4:5" s="238" customFormat="1" ht="14.25" x14ac:dyDescent="0.2">
      <c r="D743" s="257"/>
      <c r="E743" s="257"/>
    </row>
    <row r="744" spans="4:5" s="238" customFormat="1" ht="14.25" x14ac:dyDescent="0.2">
      <c r="D744" s="257"/>
      <c r="E744" s="257"/>
    </row>
    <row r="745" spans="4:5" s="238" customFormat="1" ht="14.25" x14ac:dyDescent="0.2">
      <c r="D745" s="257"/>
      <c r="E745" s="257"/>
    </row>
    <row r="746" spans="4:5" s="238" customFormat="1" ht="14.25" x14ac:dyDescent="0.2">
      <c r="D746" s="257"/>
      <c r="E746" s="257"/>
    </row>
    <row r="747" spans="4:5" s="238" customFormat="1" ht="14.25" x14ac:dyDescent="0.2">
      <c r="D747" s="257"/>
      <c r="E747" s="257"/>
    </row>
    <row r="748" spans="4:5" s="238" customFormat="1" ht="14.25" x14ac:dyDescent="0.2">
      <c r="D748" s="257"/>
      <c r="E748" s="257"/>
    </row>
    <row r="749" spans="4:5" s="238" customFormat="1" ht="14.25" x14ac:dyDescent="0.2">
      <c r="D749" s="257"/>
      <c r="E749" s="257"/>
    </row>
    <row r="750" spans="4:5" s="238" customFormat="1" ht="14.25" x14ac:dyDescent="0.2">
      <c r="D750" s="257"/>
      <c r="E750" s="257"/>
    </row>
    <row r="751" spans="4:5" s="238" customFormat="1" ht="14.25" x14ac:dyDescent="0.2">
      <c r="D751" s="257"/>
      <c r="E751" s="257"/>
    </row>
    <row r="752" spans="4:5" s="238" customFormat="1" ht="14.25" x14ac:dyDescent="0.2">
      <c r="D752" s="257"/>
      <c r="E752" s="257"/>
    </row>
    <row r="753" spans="4:5" s="238" customFormat="1" ht="14.25" x14ac:dyDescent="0.2">
      <c r="D753" s="257"/>
      <c r="E753" s="257"/>
    </row>
    <row r="754" spans="4:5" s="238" customFormat="1" ht="14.25" x14ac:dyDescent="0.2">
      <c r="D754" s="257"/>
      <c r="E754" s="257"/>
    </row>
    <row r="755" spans="4:5" s="238" customFormat="1" ht="14.25" x14ac:dyDescent="0.2">
      <c r="D755" s="257"/>
      <c r="E755" s="257"/>
    </row>
    <row r="756" spans="4:5" s="238" customFormat="1" ht="14.25" x14ac:dyDescent="0.2">
      <c r="D756" s="257"/>
      <c r="E756" s="257"/>
    </row>
    <row r="757" spans="4:5" s="238" customFormat="1" ht="14.25" x14ac:dyDescent="0.2">
      <c r="D757" s="257"/>
      <c r="E757" s="257"/>
    </row>
    <row r="758" spans="4:5" s="238" customFormat="1" ht="14.25" x14ac:dyDescent="0.2">
      <c r="D758" s="257"/>
      <c r="E758" s="257"/>
    </row>
    <row r="759" spans="4:5" s="238" customFormat="1" ht="14.25" x14ac:dyDescent="0.2">
      <c r="D759" s="257"/>
      <c r="E759" s="257"/>
    </row>
    <row r="760" spans="4:5" s="238" customFormat="1" ht="14.25" x14ac:dyDescent="0.2">
      <c r="D760" s="257"/>
      <c r="E760" s="257"/>
    </row>
    <row r="761" spans="4:5" s="238" customFormat="1" ht="14.25" x14ac:dyDescent="0.2">
      <c r="D761" s="257"/>
      <c r="E761" s="257"/>
    </row>
    <row r="762" spans="4:5" s="238" customFormat="1" ht="14.25" x14ac:dyDescent="0.2">
      <c r="D762" s="257"/>
      <c r="E762" s="257"/>
    </row>
    <row r="763" spans="4:5" s="238" customFormat="1" ht="14.25" x14ac:dyDescent="0.2">
      <c r="D763" s="257"/>
      <c r="E763" s="257"/>
    </row>
    <row r="764" spans="4:5" s="238" customFormat="1" ht="14.25" x14ac:dyDescent="0.2">
      <c r="D764" s="257"/>
      <c r="E764" s="257"/>
    </row>
    <row r="765" spans="4:5" s="238" customFormat="1" ht="14.25" x14ac:dyDescent="0.2">
      <c r="D765" s="257"/>
      <c r="E765" s="257"/>
    </row>
    <row r="766" spans="4:5" s="238" customFormat="1" ht="14.25" x14ac:dyDescent="0.2">
      <c r="D766" s="257"/>
      <c r="E766" s="257"/>
    </row>
    <row r="767" spans="4:5" s="238" customFormat="1" ht="14.25" x14ac:dyDescent="0.2">
      <c r="D767" s="257"/>
      <c r="E767" s="257"/>
    </row>
    <row r="768" spans="4:5" s="238" customFormat="1" ht="14.25" x14ac:dyDescent="0.2">
      <c r="D768" s="257"/>
      <c r="E768" s="257"/>
    </row>
    <row r="769" spans="4:5" s="238" customFormat="1" ht="14.25" x14ac:dyDescent="0.2">
      <c r="D769" s="257"/>
      <c r="E769" s="257"/>
    </row>
    <row r="770" spans="4:5" s="238" customFormat="1" ht="14.25" x14ac:dyDescent="0.2">
      <c r="D770" s="257"/>
      <c r="E770" s="257"/>
    </row>
    <row r="771" spans="4:5" s="238" customFormat="1" ht="14.25" x14ac:dyDescent="0.2">
      <c r="D771" s="257"/>
      <c r="E771" s="257"/>
    </row>
    <row r="772" spans="4:5" s="238" customFormat="1" ht="14.25" x14ac:dyDescent="0.2">
      <c r="D772" s="257"/>
      <c r="E772" s="257"/>
    </row>
    <row r="773" spans="4:5" s="238" customFormat="1" ht="14.25" x14ac:dyDescent="0.2">
      <c r="D773" s="257"/>
      <c r="E773" s="257"/>
    </row>
    <row r="774" spans="4:5" s="238" customFormat="1" ht="14.25" x14ac:dyDescent="0.2">
      <c r="D774" s="257"/>
      <c r="E774" s="257"/>
    </row>
    <row r="775" spans="4:5" s="238" customFormat="1" ht="14.25" x14ac:dyDescent="0.2">
      <c r="D775" s="257"/>
      <c r="E775" s="257"/>
    </row>
    <row r="776" spans="4:5" s="238" customFormat="1" ht="14.25" x14ac:dyDescent="0.2">
      <c r="D776" s="257"/>
      <c r="E776" s="257"/>
    </row>
    <row r="777" spans="4:5" s="238" customFormat="1" ht="14.25" x14ac:dyDescent="0.2">
      <c r="D777" s="257"/>
      <c r="E777" s="257"/>
    </row>
    <row r="778" spans="4:5" s="238" customFormat="1" ht="14.25" x14ac:dyDescent="0.2">
      <c r="D778" s="257"/>
      <c r="E778" s="257"/>
    </row>
    <row r="779" spans="4:5" s="238" customFormat="1" ht="14.25" x14ac:dyDescent="0.2">
      <c r="D779" s="257"/>
      <c r="E779" s="257"/>
    </row>
    <row r="780" spans="4:5" s="238" customFormat="1" ht="14.25" x14ac:dyDescent="0.2">
      <c r="D780" s="257"/>
      <c r="E780" s="257"/>
    </row>
    <row r="781" spans="4:5" s="238" customFormat="1" ht="14.25" x14ac:dyDescent="0.2">
      <c r="D781" s="257"/>
      <c r="E781" s="257"/>
    </row>
    <row r="782" spans="4:5" s="238" customFormat="1" ht="14.25" x14ac:dyDescent="0.2">
      <c r="D782" s="257"/>
      <c r="E782" s="257"/>
    </row>
    <row r="783" spans="4:5" s="238" customFormat="1" ht="14.25" x14ac:dyDescent="0.2">
      <c r="D783" s="257"/>
      <c r="E783" s="257"/>
    </row>
    <row r="784" spans="4:5" s="238" customFormat="1" ht="14.25" x14ac:dyDescent="0.2">
      <c r="D784" s="257"/>
      <c r="E784" s="257"/>
    </row>
    <row r="785" spans="4:5" s="238" customFormat="1" ht="14.25" x14ac:dyDescent="0.2">
      <c r="D785" s="257"/>
      <c r="E785" s="257"/>
    </row>
    <row r="786" spans="4:5" s="238" customFormat="1" ht="14.25" x14ac:dyDescent="0.2">
      <c r="D786" s="257"/>
      <c r="E786" s="257"/>
    </row>
    <row r="787" spans="4:5" s="238" customFormat="1" ht="14.25" x14ac:dyDescent="0.2">
      <c r="D787" s="257"/>
      <c r="E787" s="257"/>
    </row>
    <row r="788" spans="4:5" s="238" customFormat="1" ht="14.25" x14ac:dyDescent="0.2">
      <c r="D788" s="257"/>
      <c r="E788" s="257"/>
    </row>
    <row r="789" spans="4:5" s="238" customFormat="1" ht="14.25" x14ac:dyDescent="0.2">
      <c r="D789" s="257"/>
      <c r="E789" s="257"/>
    </row>
    <row r="790" spans="4:5" s="238" customFormat="1" ht="14.25" x14ac:dyDescent="0.2">
      <c r="D790" s="257"/>
      <c r="E790" s="257"/>
    </row>
    <row r="791" spans="4:5" s="238" customFormat="1" ht="14.25" x14ac:dyDescent="0.2">
      <c r="D791" s="257"/>
      <c r="E791" s="257"/>
    </row>
    <row r="792" spans="4:5" s="238" customFormat="1" ht="14.25" x14ac:dyDescent="0.2">
      <c r="D792" s="257"/>
      <c r="E792" s="257"/>
    </row>
    <row r="793" spans="4:5" s="238" customFormat="1" ht="14.25" x14ac:dyDescent="0.2">
      <c r="D793" s="257"/>
      <c r="E793" s="257"/>
    </row>
    <row r="794" spans="4:5" s="238" customFormat="1" ht="14.25" x14ac:dyDescent="0.2">
      <c r="D794" s="257"/>
      <c r="E794" s="257"/>
    </row>
    <row r="795" spans="4:5" s="238" customFormat="1" ht="14.25" x14ac:dyDescent="0.2">
      <c r="D795" s="257"/>
      <c r="E795" s="257"/>
    </row>
    <row r="796" spans="4:5" s="238" customFormat="1" ht="14.25" x14ac:dyDescent="0.2">
      <c r="D796" s="257"/>
      <c r="E796" s="257"/>
    </row>
    <row r="797" spans="4:5" s="238" customFormat="1" ht="14.25" x14ac:dyDescent="0.2">
      <c r="D797" s="257"/>
      <c r="E797" s="257"/>
    </row>
    <row r="798" spans="4:5" s="238" customFormat="1" ht="14.25" x14ac:dyDescent="0.2">
      <c r="D798" s="257"/>
      <c r="E798" s="257"/>
    </row>
    <row r="799" spans="4:5" s="238" customFormat="1" ht="14.25" x14ac:dyDescent="0.2">
      <c r="D799" s="257"/>
      <c r="E799" s="257"/>
    </row>
    <row r="800" spans="4:5" s="238" customFormat="1" ht="14.25" x14ac:dyDescent="0.2">
      <c r="D800" s="257"/>
      <c r="E800" s="257"/>
    </row>
    <row r="801" spans="4:5" s="238" customFormat="1" ht="14.25" x14ac:dyDescent="0.2">
      <c r="D801" s="257"/>
      <c r="E801" s="257"/>
    </row>
    <row r="802" spans="4:5" s="238" customFormat="1" ht="14.25" x14ac:dyDescent="0.2">
      <c r="D802" s="257"/>
      <c r="E802" s="257"/>
    </row>
    <row r="803" spans="4:5" s="238" customFormat="1" ht="14.25" x14ac:dyDescent="0.2">
      <c r="D803" s="257"/>
      <c r="E803" s="257"/>
    </row>
    <row r="804" spans="4:5" s="238" customFormat="1" ht="14.25" x14ac:dyDescent="0.2">
      <c r="D804" s="257"/>
      <c r="E804" s="257"/>
    </row>
    <row r="805" spans="4:5" s="238" customFormat="1" ht="14.25" x14ac:dyDescent="0.2">
      <c r="D805" s="257"/>
      <c r="E805" s="257"/>
    </row>
    <row r="806" spans="4:5" s="238" customFormat="1" ht="14.25" x14ac:dyDescent="0.2">
      <c r="D806" s="257"/>
      <c r="E806" s="257"/>
    </row>
    <row r="807" spans="4:5" s="238" customFormat="1" ht="14.25" x14ac:dyDescent="0.2">
      <c r="D807" s="257"/>
      <c r="E807" s="257"/>
    </row>
    <row r="808" spans="4:5" s="238" customFormat="1" ht="14.25" x14ac:dyDescent="0.2">
      <c r="D808" s="257"/>
      <c r="E808" s="257"/>
    </row>
    <row r="809" spans="4:5" s="238" customFormat="1" ht="14.25" x14ac:dyDescent="0.2">
      <c r="D809" s="257"/>
      <c r="E809" s="257"/>
    </row>
    <row r="810" spans="4:5" s="238" customFormat="1" ht="14.25" x14ac:dyDescent="0.2">
      <c r="D810" s="257"/>
      <c r="E810" s="257"/>
    </row>
    <row r="811" spans="4:5" s="238" customFormat="1" ht="14.25" x14ac:dyDescent="0.2">
      <c r="D811" s="257"/>
      <c r="E811" s="257"/>
    </row>
    <row r="812" spans="4:5" s="238" customFormat="1" ht="14.25" x14ac:dyDescent="0.2">
      <c r="D812" s="257"/>
      <c r="E812" s="257"/>
    </row>
    <row r="813" spans="4:5" s="238" customFormat="1" ht="14.25" x14ac:dyDescent="0.2">
      <c r="D813" s="257"/>
      <c r="E813" s="257"/>
    </row>
    <row r="814" spans="4:5" s="238" customFormat="1" ht="14.25" x14ac:dyDescent="0.2">
      <c r="D814" s="257"/>
      <c r="E814" s="257"/>
    </row>
    <row r="815" spans="4:5" s="238" customFormat="1" ht="14.25" x14ac:dyDescent="0.2">
      <c r="D815" s="257"/>
      <c r="E815" s="257"/>
    </row>
    <row r="816" spans="4:5" s="238" customFormat="1" ht="14.25" x14ac:dyDescent="0.2">
      <c r="D816" s="257"/>
      <c r="E816" s="257"/>
    </row>
    <row r="817" spans="4:5" s="238" customFormat="1" ht="14.25" x14ac:dyDescent="0.2">
      <c r="D817" s="257"/>
      <c r="E817" s="257"/>
    </row>
    <row r="818" spans="4:5" s="238" customFormat="1" ht="14.25" x14ac:dyDescent="0.2">
      <c r="D818" s="257"/>
      <c r="E818" s="257"/>
    </row>
    <row r="819" spans="4:5" s="238" customFormat="1" ht="14.25" x14ac:dyDescent="0.2">
      <c r="D819" s="257"/>
      <c r="E819" s="257"/>
    </row>
    <row r="820" spans="4:5" s="238" customFormat="1" ht="14.25" x14ac:dyDescent="0.2">
      <c r="D820" s="257"/>
      <c r="E820" s="257"/>
    </row>
    <row r="821" spans="4:5" s="238" customFormat="1" ht="14.25" x14ac:dyDescent="0.2">
      <c r="D821" s="257"/>
      <c r="E821" s="257"/>
    </row>
    <row r="822" spans="4:5" s="238" customFormat="1" ht="14.25" x14ac:dyDescent="0.2">
      <c r="D822" s="257"/>
      <c r="E822" s="257"/>
    </row>
    <row r="823" spans="4:5" s="238" customFormat="1" ht="14.25" x14ac:dyDescent="0.2">
      <c r="D823" s="257"/>
      <c r="E823" s="257"/>
    </row>
    <row r="824" spans="4:5" s="238" customFormat="1" ht="14.25" x14ac:dyDescent="0.2">
      <c r="D824" s="257"/>
      <c r="E824" s="257"/>
    </row>
    <row r="825" spans="4:5" s="238" customFormat="1" ht="14.25" x14ac:dyDescent="0.2">
      <c r="D825" s="257"/>
      <c r="E825" s="257"/>
    </row>
    <row r="826" spans="4:5" s="238" customFormat="1" ht="14.25" x14ac:dyDescent="0.2">
      <c r="D826" s="257"/>
      <c r="E826" s="257"/>
    </row>
    <row r="827" spans="4:5" s="238" customFormat="1" ht="14.25" x14ac:dyDescent="0.2">
      <c r="D827" s="257"/>
      <c r="E827" s="257"/>
    </row>
    <row r="828" spans="4:5" s="238" customFormat="1" ht="14.25" x14ac:dyDescent="0.2">
      <c r="D828" s="257"/>
      <c r="E828" s="257"/>
    </row>
    <row r="829" spans="4:5" s="238" customFormat="1" ht="14.25" x14ac:dyDescent="0.2">
      <c r="D829" s="257"/>
      <c r="E829" s="257"/>
    </row>
    <row r="830" spans="4:5" s="238" customFormat="1" ht="14.25" x14ac:dyDescent="0.2">
      <c r="D830" s="257"/>
      <c r="E830" s="257"/>
    </row>
    <row r="831" spans="4:5" s="238" customFormat="1" ht="14.25" x14ac:dyDescent="0.2">
      <c r="D831" s="257"/>
      <c r="E831" s="257"/>
    </row>
    <row r="832" spans="4:5" s="238" customFormat="1" ht="14.25" x14ac:dyDescent="0.2">
      <c r="D832" s="257"/>
      <c r="E832" s="257"/>
    </row>
    <row r="833" spans="4:5" s="238" customFormat="1" ht="14.25" x14ac:dyDescent="0.2">
      <c r="D833" s="257"/>
      <c r="E833" s="257"/>
    </row>
    <row r="834" spans="4:5" s="238" customFormat="1" ht="14.25" x14ac:dyDescent="0.2">
      <c r="D834" s="257"/>
      <c r="E834" s="257"/>
    </row>
    <row r="835" spans="4:5" s="238" customFormat="1" ht="14.25" x14ac:dyDescent="0.2">
      <c r="D835" s="257"/>
      <c r="E835" s="257"/>
    </row>
    <row r="836" spans="4:5" s="238" customFormat="1" ht="14.25" x14ac:dyDescent="0.2">
      <c r="D836" s="257"/>
      <c r="E836" s="257"/>
    </row>
    <row r="837" spans="4:5" s="238" customFormat="1" ht="14.25" x14ac:dyDescent="0.2">
      <c r="D837" s="257"/>
      <c r="E837" s="257"/>
    </row>
    <row r="838" spans="4:5" s="238" customFormat="1" ht="14.25" x14ac:dyDescent="0.2">
      <c r="D838" s="257"/>
      <c r="E838" s="257"/>
    </row>
    <row r="839" spans="4:5" s="238" customFormat="1" ht="14.25" x14ac:dyDescent="0.2">
      <c r="D839" s="257"/>
      <c r="E839" s="257"/>
    </row>
    <row r="840" spans="4:5" s="238" customFormat="1" ht="14.25" x14ac:dyDescent="0.2">
      <c r="D840" s="257"/>
      <c r="E840" s="257"/>
    </row>
    <row r="841" spans="4:5" s="238" customFormat="1" ht="14.25" x14ac:dyDescent="0.2">
      <c r="D841" s="257"/>
      <c r="E841" s="257"/>
    </row>
    <row r="842" spans="4:5" s="238" customFormat="1" ht="14.25" x14ac:dyDescent="0.2">
      <c r="D842" s="257"/>
      <c r="E842" s="257"/>
    </row>
    <row r="843" spans="4:5" s="238" customFormat="1" ht="14.25" x14ac:dyDescent="0.2">
      <c r="D843" s="257"/>
      <c r="E843" s="257"/>
    </row>
    <row r="844" spans="4:5" s="238" customFormat="1" ht="14.25" x14ac:dyDescent="0.2">
      <c r="D844" s="257"/>
      <c r="E844" s="257"/>
    </row>
    <row r="845" spans="4:5" s="238" customFormat="1" ht="14.25" x14ac:dyDescent="0.2">
      <c r="D845" s="257"/>
      <c r="E845" s="257"/>
    </row>
    <row r="846" spans="4:5" s="238" customFormat="1" ht="14.25" x14ac:dyDescent="0.2">
      <c r="D846" s="257"/>
      <c r="E846" s="257"/>
    </row>
    <row r="847" spans="4:5" s="238" customFormat="1" ht="14.25" x14ac:dyDescent="0.2">
      <c r="D847" s="257"/>
      <c r="E847" s="257"/>
    </row>
    <row r="848" spans="4:5" s="238" customFormat="1" ht="14.25" x14ac:dyDescent="0.2">
      <c r="D848" s="257"/>
      <c r="E848" s="257"/>
    </row>
    <row r="849" spans="4:5" s="238" customFormat="1" ht="14.25" x14ac:dyDescent="0.2">
      <c r="D849" s="257"/>
      <c r="E849" s="257"/>
    </row>
    <row r="850" spans="4:5" s="238" customFormat="1" ht="14.25" x14ac:dyDescent="0.2">
      <c r="D850" s="257"/>
      <c r="E850" s="257"/>
    </row>
    <row r="851" spans="4:5" s="238" customFormat="1" ht="14.25" x14ac:dyDescent="0.2">
      <c r="D851" s="257"/>
      <c r="E851" s="257"/>
    </row>
    <row r="852" spans="4:5" s="238" customFormat="1" ht="14.25" x14ac:dyDescent="0.2">
      <c r="D852" s="257"/>
      <c r="E852" s="257"/>
    </row>
    <row r="853" spans="4:5" s="238" customFormat="1" ht="14.25" x14ac:dyDescent="0.2">
      <c r="D853" s="257"/>
      <c r="E853" s="257"/>
    </row>
    <row r="854" spans="4:5" s="238" customFormat="1" ht="14.25" x14ac:dyDescent="0.2">
      <c r="D854" s="257"/>
      <c r="E854" s="257"/>
    </row>
    <row r="855" spans="4:5" s="238" customFormat="1" ht="14.25" x14ac:dyDescent="0.2">
      <c r="D855" s="257"/>
      <c r="E855" s="257"/>
    </row>
    <row r="856" spans="4:5" s="238" customFormat="1" ht="14.25" x14ac:dyDescent="0.2">
      <c r="D856" s="257"/>
      <c r="E856" s="257"/>
    </row>
    <row r="857" spans="4:5" s="238" customFormat="1" ht="14.25" x14ac:dyDescent="0.2">
      <c r="D857" s="257"/>
      <c r="E857" s="257"/>
    </row>
    <row r="858" spans="4:5" s="238" customFormat="1" ht="14.25" x14ac:dyDescent="0.2">
      <c r="D858" s="257"/>
      <c r="E858" s="257"/>
    </row>
    <row r="859" spans="4:5" s="238" customFormat="1" ht="14.25" x14ac:dyDescent="0.2">
      <c r="D859" s="257"/>
      <c r="E859" s="257"/>
    </row>
    <row r="860" spans="4:5" s="238" customFormat="1" ht="14.25" x14ac:dyDescent="0.2">
      <c r="D860" s="257"/>
      <c r="E860" s="257"/>
    </row>
    <row r="861" spans="4:5" s="238" customFormat="1" ht="14.25" x14ac:dyDescent="0.2">
      <c r="D861" s="257"/>
      <c r="E861" s="257"/>
    </row>
    <row r="862" spans="4:5" s="238" customFormat="1" ht="14.25" x14ac:dyDescent="0.2">
      <c r="D862" s="257"/>
      <c r="E862" s="257"/>
    </row>
    <row r="863" spans="4:5" s="238" customFormat="1" ht="14.25" x14ac:dyDescent="0.2">
      <c r="D863" s="257"/>
      <c r="E863" s="257"/>
    </row>
    <row r="864" spans="4:5" s="238" customFormat="1" ht="14.25" x14ac:dyDescent="0.2">
      <c r="D864" s="257"/>
      <c r="E864" s="257"/>
    </row>
    <row r="865" spans="4:5" s="238" customFormat="1" ht="14.25" x14ac:dyDescent="0.2">
      <c r="D865" s="257"/>
      <c r="E865" s="257"/>
    </row>
    <row r="866" spans="4:5" s="238" customFormat="1" ht="14.25" x14ac:dyDescent="0.2">
      <c r="D866" s="257"/>
      <c r="E866" s="257"/>
    </row>
    <row r="867" spans="4:5" s="238" customFormat="1" ht="14.25" x14ac:dyDescent="0.2">
      <c r="D867" s="257"/>
      <c r="E867" s="257"/>
    </row>
    <row r="868" spans="4:5" s="238" customFormat="1" ht="14.25" x14ac:dyDescent="0.2">
      <c r="D868" s="257"/>
      <c r="E868" s="257"/>
    </row>
    <row r="869" spans="4:5" s="238" customFormat="1" ht="14.25" x14ac:dyDescent="0.2">
      <c r="D869" s="257"/>
      <c r="E869" s="257"/>
    </row>
    <row r="870" spans="4:5" s="238" customFormat="1" ht="14.25" x14ac:dyDescent="0.2">
      <c r="D870" s="257"/>
      <c r="E870" s="257"/>
    </row>
    <row r="871" spans="4:5" s="238" customFormat="1" ht="14.25" x14ac:dyDescent="0.2">
      <c r="D871" s="257"/>
      <c r="E871" s="257"/>
    </row>
    <row r="872" spans="4:5" s="238" customFormat="1" ht="14.25" x14ac:dyDescent="0.2">
      <c r="D872" s="257"/>
      <c r="E872" s="257"/>
    </row>
    <row r="873" spans="4:5" s="238" customFormat="1" ht="14.25" x14ac:dyDescent="0.2">
      <c r="D873" s="257"/>
      <c r="E873" s="257"/>
    </row>
    <row r="874" spans="4:5" s="238" customFormat="1" ht="14.25" x14ac:dyDescent="0.2">
      <c r="D874" s="257"/>
      <c r="E874" s="257"/>
    </row>
    <row r="875" spans="4:5" s="238" customFormat="1" ht="14.25" x14ac:dyDescent="0.2">
      <c r="D875" s="257"/>
      <c r="E875" s="257"/>
    </row>
    <row r="876" spans="4:5" s="238" customFormat="1" ht="14.25" x14ac:dyDescent="0.2">
      <c r="D876" s="257"/>
      <c r="E876" s="257"/>
    </row>
    <row r="877" spans="4:5" s="238" customFormat="1" ht="14.25" x14ac:dyDescent="0.2">
      <c r="D877" s="257"/>
      <c r="E877" s="257"/>
    </row>
    <row r="878" spans="4:5" s="238" customFormat="1" ht="14.25" x14ac:dyDescent="0.2">
      <c r="D878" s="257"/>
      <c r="E878" s="257"/>
    </row>
    <row r="879" spans="4:5" s="238" customFormat="1" ht="14.25" x14ac:dyDescent="0.2">
      <c r="D879" s="257"/>
      <c r="E879" s="257"/>
    </row>
    <row r="880" spans="4:5" s="238" customFormat="1" ht="14.25" x14ac:dyDescent="0.2">
      <c r="D880" s="257"/>
      <c r="E880" s="257"/>
    </row>
    <row r="881" spans="4:5" s="238" customFormat="1" ht="14.25" x14ac:dyDescent="0.2">
      <c r="D881" s="257"/>
      <c r="E881" s="257"/>
    </row>
    <row r="882" spans="4:5" s="238" customFormat="1" ht="14.25" x14ac:dyDescent="0.2">
      <c r="D882" s="257"/>
      <c r="E882" s="257"/>
    </row>
    <row r="883" spans="4:5" s="238" customFormat="1" ht="14.25" x14ac:dyDescent="0.2">
      <c r="D883" s="257"/>
      <c r="E883" s="257"/>
    </row>
    <row r="884" spans="4:5" s="238" customFormat="1" ht="14.25" x14ac:dyDescent="0.2">
      <c r="D884" s="257"/>
      <c r="E884" s="257"/>
    </row>
    <row r="885" spans="4:5" s="238" customFormat="1" ht="14.25" x14ac:dyDescent="0.2">
      <c r="D885" s="257"/>
      <c r="E885" s="257"/>
    </row>
    <row r="886" spans="4:5" s="238" customFormat="1" ht="14.25" x14ac:dyDescent="0.2">
      <c r="D886" s="257"/>
      <c r="E886" s="257"/>
    </row>
    <row r="887" spans="4:5" s="238" customFormat="1" ht="14.25" x14ac:dyDescent="0.2">
      <c r="D887" s="257"/>
      <c r="E887" s="257"/>
    </row>
    <row r="888" spans="4:5" s="238" customFormat="1" ht="14.25" x14ac:dyDescent="0.2">
      <c r="D888" s="257"/>
      <c r="E888" s="257"/>
    </row>
    <row r="889" spans="4:5" s="238" customFormat="1" ht="14.25" x14ac:dyDescent="0.2">
      <c r="D889" s="257"/>
      <c r="E889" s="257"/>
    </row>
    <row r="890" spans="4:5" s="238" customFormat="1" ht="14.25" x14ac:dyDescent="0.2">
      <c r="D890" s="257"/>
      <c r="E890" s="257"/>
    </row>
    <row r="891" spans="4:5" s="238" customFormat="1" ht="14.25" x14ac:dyDescent="0.2">
      <c r="D891" s="257"/>
      <c r="E891" s="257"/>
    </row>
    <row r="892" spans="4:5" s="238" customFormat="1" ht="14.25" x14ac:dyDescent="0.2">
      <c r="D892" s="257"/>
      <c r="E892" s="257"/>
    </row>
    <row r="893" spans="4:5" s="238" customFormat="1" ht="14.25" x14ac:dyDescent="0.2">
      <c r="D893" s="257"/>
      <c r="E893" s="257"/>
    </row>
    <row r="894" spans="4:5" s="238" customFormat="1" ht="14.25" x14ac:dyDescent="0.2">
      <c r="D894" s="257"/>
      <c r="E894" s="257"/>
    </row>
    <row r="895" spans="4:5" s="238" customFormat="1" ht="14.25" x14ac:dyDescent="0.2">
      <c r="D895" s="257"/>
      <c r="E895" s="257"/>
    </row>
    <row r="896" spans="4:5" s="238" customFormat="1" ht="14.25" x14ac:dyDescent="0.2">
      <c r="D896" s="257"/>
      <c r="E896" s="257"/>
    </row>
    <row r="897" spans="4:5" s="238" customFormat="1" ht="14.25" x14ac:dyDescent="0.2">
      <c r="D897" s="257"/>
      <c r="E897" s="257"/>
    </row>
    <row r="898" spans="4:5" s="238" customFormat="1" ht="14.25" x14ac:dyDescent="0.2">
      <c r="D898" s="257"/>
      <c r="E898" s="257"/>
    </row>
    <row r="899" spans="4:5" s="238" customFormat="1" ht="14.25" x14ac:dyDescent="0.2">
      <c r="D899" s="257"/>
      <c r="E899" s="257"/>
    </row>
    <row r="900" spans="4:5" s="238" customFormat="1" ht="14.25" x14ac:dyDescent="0.2">
      <c r="D900" s="257"/>
      <c r="E900" s="257"/>
    </row>
    <row r="901" spans="4:5" s="238" customFormat="1" ht="14.25" x14ac:dyDescent="0.2">
      <c r="D901" s="257"/>
      <c r="E901" s="257"/>
    </row>
    <row r="902" spans="4:5" s="238" customFormat="1" ht="14.25" x14ac:dyDescent="0.2">
      <c r="D902" s="257"/>
      <c r="E902" s="257"/>
    </row>
    <row r="903" spans="4:5" s="238" customFormat="1" ht="14.25" x14ac:dyDescent="0.2">
      <c r="D903" s="257"/>
      <c r="E903" s="257"/>
    </row>
    <row r="904" spans="4:5" s="238" customFormat="1" ht="14.25" x14ac:dyDescent="0.2">
      <c r="D904" s="257"/>
      <c r="E904" s="257"/>
    </row>
    <row r="905" spans="4:5" s="238" customFormat="1" ht="14.25" x14ac:dyDescent="0.2">
      <c r="D905" s="257"/>
      <c r="E905" s="257"/>
    </row>
    <row r="906" spans="4:5" s="238" customFormat="1" ht="14.25" x14ac:dyDescent="0.2">
      <c r="D906" s="257"/>
      <c r="E906" s="257"/>
    </row>
    <row r="907" spans="4:5" s="238" customFormat="1" ht="14.25" x14ac:dyDescent="0.2">
      <c r="D907" s="257"/>
      <c r="E907" s="257"/>
    </row>
    <row r="908" spans="4:5" s="238" customFormat="1" ht="14.25" x14ac:dyDescent="0.2">
      <c r="D908" s="257"/>
      <c r="E908" s="257"/>
    </row>
    <row r="909" spans="4:5" s="238" customFormat="1" ht="14.25" x14ac:dyDescent="0.2">
      <c r="D909" s="257"/>
      <c r="E909" s="257"/>
    </row>
    <row r="910" spans="4:5" s="238" customFormat="1" ht="14.25" x14ac:dyDescent="0.2">
      <c r="D910" s="257"/>
      <c r="E910" s="257"/>
    </row>
    <row r="911" spans="4:5" s="238" customFormat="1" ht="14.25" x14ac:dyDescent="0.2">
      <c r="D911" s="257"/>
      <c r="E911" s="257"/>
    </row>
    <row r="912" spans="4:5" s="238" customFormat="1" ht="14.25" x14ac:dyDescent="0.2">
      <c r="D912" s="257"/>
      <c r="E912" s="257"/>
    </row>
    <row r="913" spans="4:5" s="238" customFormat="1" ht="14.25" x14ac:dyDescent="0.2">
      <c r="D913" s="257"/>
      <c r="E913" s="257"/>
    </row>
    <row r="914" spans="4:5" s="238" customFormat="1" ht="14.25" x14ac:dyDescent="0.2">
      <c r="D914" s="257"/>
      <c r="E914" s="257"/>
    </row>
    <row r="915" spans="4:5" s="238" customFormat="1" ht="14.25" x14ac:dyDescent="0.2">
      <c r="D915" s="257"/>
      <c r="E915" s="257"/>
    </row>
    <row r="916" spans="4:5" s="238" customFormat="1" ht="14.25" x14ac:dyDescent="0.2">
      <c r="D916" s="257"/>
      <c r="E916" s="257"/>
    </row>
    <row r="917" spans="4:5" s="238" customFormat="1" ht="14.25" x14ac:dyDescent="0.2">
      <c r="D917" s="257"/>
      <c r="E917" s="257"/>
    </row>
    <row r="918" spans="4:5" s="238" customFormat="1" ht="14.25" x14ac:dyDescent="0.2">
      <c r="D918" s="257"/>
      <c r="E918" s="257"/>
    </row>
    <row r="919" spans="4:5" s="238" customFormat="1" ht="14.25" x14ac:dyDescent="0.2">
      <c r="D919" s="257"/>
      <c r="E919" s="257"/>
    </row>
    <row r="920" spans="4:5" s="238" customFormat="1" ht="14.25" x14ac:dyDescent="0.2">
      <c r="D920" s="257"/>
      <c r="E920" s="257"/>
    </row>
    <row r="921" spans="4:5" s="238" customFormat="1" ht="14.25" x14ac:dyDescent="0.2">
      <c r="D921" s="257"/>
      <c r="E921" s="257"/>
    </row>
    <row r="922" spans="4:5" s="238" customFormat="1" ht="14.25" x14ac:dyDescent="0.2">
      <c r="D922" s="257"/>
      <c r="E922" s="257"/>
    </row>
    <row r="923" spans="4:5" s="238" customFormat="1" ht="14.25" x14ac:dyDescent="0.2">
      <c r="D923" s="257"/>
      <c r="E923" s="257"/>
    </row>
    <row r="924" spans="4:5" s="238" customFormat="1" ht="14.25" x14ac:dyDescent="0.2">
      <c r="D924" s="257"/>
      <c r="E924" s="257"/>
    </row>
    <row r="925" spans="4:5" s="238" customFormat="1" ht="14.25" x14ac:dyDescent="0.2">
      <c r="D925" s="257"/>
      <c r="E925" s="257"/>
    </row>
    <row r="926" spans="4:5" s="238" customFormat="1" ht="14.25" x14ac:dyDescent="0.2">
      <c r="D926" s="257"/>
      <c r="E926" s="257"/>
    </row>
    <row r="927" spans="4:5" s="238" customFormat="1" ht="14.25" x14ac:dyDescent="0.2">
      <c r="D927" s="257"/>
      <c r="E927" s="257"/>
    </row>
    <row r="928" spans="4:5" s="238" customFormat="1" ht="14.25" x14ac:dyDescent="0.2">
      <c r="D928" s="257"/>
      <c r="E928" s="257"/>
    </row>
    <row r="929" spans="4:5" s="238" customFormat="1" ht="14.25" x14ac:dyDescent="0.2">
      <c r="D929" s="257"/>
      <c r="E929" s="257"/>
    </row>
    <row r="930" spans="4:5" s="238" customFormat="1" ht="14.25" x14ac:dyDescent="0.2">
      <c r="D930" s="257"/>
      <c r="E930" s="257"/>
    </row>
    <row r="931" spans="4:5" s="238" customFormat="1" ht="14.25" x14ac:dyDescent="0.2">
      <c r="D931" s="257"/>
      <c r="E931" s="257"/>
    </row>
    <row r="932" spans="4:5" s="238" customFormat="1" ht="14.25" x14ac:dyDescent="0.2">
      <c r="D932" s="257"/>
      <c r="E932" s="257"/>
    </row>
    <row r="933" spans="4:5" s="238" customFormat="1" ht="14.25" x14ac:dyDescent="0.2">
      <c r="D933" s="257"/>
      <c r="E933" s="257"/>
    </row>
    <row r="934" spans="4:5" s="238" customFormat="1" ht="14.25" x14ac:dyDescent="0.2">
      <c r="D934" s="257"/>
      <c r="E934" s="257"/>
    </row>
    <row r="935" spans="4:5" s="238" customFormat="1" ht="14.25" x14ac:dyDescent="0.2">
      <c r="D935" s="257"/>
      <c r="E935" s="257"/>
    </row>
    <row r="936" spans="4:5" s="238" customFormat="1" ht="14.25" x14ac:dyDescent="0.2">
      <c r="D936" s="257"/>
      <c r="E936" s="257"/>
    </row>
    <row r="937" spans="4:5" s="238" customFormat="1" ht="14.25" x14ac:dyDescent="0.2">
      <c r="D937" s="257"/>
      <c r="E937" s="257"/>
    </row>
    <row r="938" spans="4:5" s="238" customFormat="1" ht="14.25" x14ac:dyDescent="0.2">
      <c r="D938" s="257"/>
      <c r="E938" s="257"/>
    </row>
    <row r="939" spans="4:5" s="238" customFormat="1" ht="14.25" x14ac:dyDescent="0.2">
      <c r="D939" s="257"/>
      <c r="E939" s="257"/>
    </row>
    <row r="940" spans="4:5" s="238" customFormat="1" ht="14.25" x14ac:dyDescent="0.2">
      <c r="D940" s="257"/>
      <c r="E940" s="257"/>
    </row>
    <row r="941" spans="4:5" s="238" customFormat="1" ht="14.25" x14ac:dyDescent="0.2">
      <c r="D941" s="257"/>
      <c r="E941" s="257"/>
    </row>
    <row r="942" spans="4:5" s="238" customFormat="1" ht="14.25" x14ac:dyDescent="0.2">
      <c r="D942" s="257"/>
      <c r="E942" s="257"/>
    </row>
    <row r="943" spans="4:5" s="238" customFormat="1" ht="14.25" x14ac:dyDescent="0.2">
      <c r="D943" s="257"/>
      <c r="E943" s="257"/>
    </row>
    <row r="944" spans="4:5" s="238" customFormat="1" ht="14.25" x14ac:dyDescent="0.2">
      <c r="D944" s="257"/>
      <c r="E944" s="257"/>
    </row>
    <row r="945" spans="4:5" s="238" customFormat="1" ht="14.25" x14ac:dyDescent="0.2">
      <c r="D945" s="257"/>
      <c r="E945" s="257"/>
    </row>
    <row r="946" spans="4:5" s="238" customFormat="1" ht="14.25" x14ac:dyDescent="0.2">
      <c r="D946" s="257"/>
      <c r="E946" s="257"/>
    </row>
    <row r="947" spans="4:5" s="238" customFormat="1" ht="14.25" x14ac:dyDescent="0.2">
      <c r="D947" s="257"/>
      <c r="E947" s="257"/>
    </row>
    <row r="948" spans="4:5" s="238" customFormat="1" ht="14.25" x14ac:dyDescent="0.2">
      <c r="D948" s="257"/>
      <c r="E948" s="257"/>
    </row>
    <row r="949" spans="4:5" s="238" customFormat="1" ht="14.25" x14ac:dyDescent="0.2">
      <c r="D949" s="257"/>
      <c r="E949" s="257"/>
    </row>
    <row r="950" spans="4:5" s="238" customFormat="1" ht="14.25" x14ac:dyDescent="0.2">
      <c r="D950" s="257"/>
      <c r="E950" s="257"/>
    </row>
    <row r="951" spans="4:5" s="238" customFormat="1" ht="14.25" x14ac:dyDescent="0.2">
      <c r="D951" s="257"/>
      <c r="E951" s="257"/>
    </row>
    <row r="952" spans="4:5" s="238" customFormat="1" ht="14.25" x14ac:dyDescent="0.2">
      <c r="D952" s="257"/>
      <c r="E952" s="257"/>
    </row>
    <row r="953" spans="4:5" s="238" customFormat="1" ht="14.25" x14ac:dyDescent="0.2">
      <c r="D953" s="257"/>
      <c r="E953" s="257"/>
    </row>
    <row r="954" spans="4:5" s="238" customFormat="1" ht="14.25" x14ac:dyDescent="0.2">
      <c r="D954" s="257"/>
      <c r="E954" s="257"/>
    </row>
    <row r="955" spans="4:5" s="238" customFormat="1" ht="14.25" x14ac:dyDescent="0.2">
      <c r="D955" s="257"/>
      <c r="E955" s="257"/>
    </row>
    <row r="956" spans="4:5" s="238" customFormat="1" ht="14.25" x14ac:dyDescent="0.2">
      <c r="D956" s="257"/>
      <c r="E956" s="257"/>
    </row>
    <row r="957" spans="4:5" s="238" customFormat="1" ht="14.25" x14ac:dyDescent="0.2">
      <c r="D957" s="257"/>
      <c r="E957" s="257"/>
    </row>
    <row r="958" spans="4:5" s="238" customFormat="1" ht="14.25" x14ac:dyDescent="0.2">
      <c r="D958" s="257"/>
      <c r="E958" s="257"/>
    </row>
    <row r="959" spans="4:5" s="238" customFormat="1" ht="14.25" x14ac:dyDescent="0.2">
      <c r="D959" s="257"/>
      <c r="E959" s="257"/>
    </row>
    <row r="960" spans="4:5" s="238" customFormat="1" ht="14.25" x14ac:dyDescent="0.2">
      <c r="D960" s="257"/>
      <c r="E960" s="257"/>
    </row>
    <row r="961" spans="4:5" s="238" customFormat="1" ht="14.25" x14ac:dyDescent="0.2">
      <c r="D961" s="257"/>
      <c r="E961" s="257"/>
    </row>
    <row r="962" spans="4:5" s="238" customFormat="1" ht="14.25" x14ac:dyDescent="0.2">
      <c r="D962" s="257"/>
      <c r="E962" s="257"/>
    </row>
    <row r="963" spans="4:5" s="238" customFormat="1" ht="14.25" x14ac:dyDescent="0.2">
      <c r="D963" s="257"/>
      <c r="E963" s="257"/>
    </row>
    <row r="964" spans="4:5" s="238" customFormat="1" ht="14.25" x14ac:dyDescent="0.2">
      <c r="D964" s="257"/>
      <c r="E964" s="257"/>
    </row>
    <row r="965" spans="4:5" s="238" customFormat="1" ht="14.25" x14ac:dyDescent="0.2">
      <c r="D965" s="257"/>
      <c r="E965" s="257"/>
    </row>
    <row r="966" spans="4:5" s="238" customFormat="1" ht="14.25" x14ac:dyDescent="0.2">
      <c r="D966" s="257"/>
      <c r="E966" s="257"/>
    </row>
    <row r="967" spans="4:5" s="238" customFormat="1" ht="14.25" x14ac:dyDescent="0.2">
      <c r="D967" s="257"/>
      <c r="E967" s="257"/>
    </row>
    <row r="968" spans="4:5" s="238" customFormat="1" ht="14.25" x14ac:dyDescent="0.2">
      <c r="D968" s="257"/>
      <c r="E968" s="257"/>
    </row>
    <row r="969" spans="4:5" s="238" customFormat="1" ht="14.25" x14ac:dyDescent="0.2">
      <c r="D969" s="257"/>
      <c r="E969" s="257"/>
    </row>
    <row r="970" spans="4:5" s="238" customFormat="1" ht="14.25" x14ac:dyDescent="0.2">
      <c r="D970" s="257"/>
      <c r="E970" s="257"/>
    </row>
    <row r="971" spans="4:5" s="238" customFormat="1" ht="14.25" x14ac:dyDescent="0.2">
      <c r="D971" s="257"/>
      <c r="E971" s="257"/>
    </row>
    <row r="972" spans="4:5" s="238" customFormat="1" ht="14.25" x14ac:dyDescent="0.2">
      <c r="D972" s="257"/>
      <c r="E972" s="257"/>
    </row>
    <row r="973" spans="4:5" s="238" customFormat="1" ht="14.25" x14ac:dyDescent="0.2">
      <c r="D973" s="257"/>
      <c r="E973" s="257"/>
    </row>
    <row r="974" spans="4:5" s="238" customFormat="1" ht="14.25" x14ac:dyDescent="0.2">
      <c r="D974" s="257"/>
      <c r="E974" s="257"/>
    </row>
    <row r="975" spans="4:5" s="238" customFormat="1" ht="14.25" x14ac:dyDescent="0.2">
      <c r="D975" s="257"/>
      <c r="E975" s="257"/>
    </row>
    <row r="976" spans="4:5" s="238" customFormat="1" ht="14.25" x14ac:dyDescent="0.2">
      <c r="D976" s="257"/>
      <c r="E976" s="257"/>
    </row>
    <row r="977" spans="4:5" s="238" customFormat="1" ht="14.25" x14ac:dyDescent="0.2">
      <c r="D977" s="257"/>
      <c r="E977" s="257"/>
    </row>
    <row r="978" spans="4:5" s="238" customFormat="1" ht="14.25" x14ac:dyDescent="0.2">
      <c r="D978" s="257"/>
      <c r="E978" s="257"/>
    </row>
    <row r="979" spans="4:5" s="238" customFormat="1" ht="14.25" x14ac:dyDescent="0.2">
      <c r="D979" s="257"/>
      <c r="E979" s="257"/>
    </row>
    <row r="980" spans="4:5" s="238" customFormat="1" ht="14.25" x14ac:dyDescent="0.2">
      <c r="D980" s="257"/>
      <c r="E980" s="257"/>
    </row>
    <row r="981" spans="4:5" s="238" customFormat="1" ht="14.25" x14ac:dyDescent="0.2">
      <c r="D981" s="257"/>
      <c r="E981" s="257"/>
    </row>
    <row r="982" spans="4:5" s="238" customFormat="1" ht="14.25" x14ac:dyDescent="0.2">
      <c r="D982" s="257"/>
      <c r="E982" s="257"/>
    </row>
    <row r="983" spans="4:5" s="238" customFormat="1" ht="14.25" x14ac:dyDescent="0.2">
      <c r="D983" s="257"/>
      <c r="E983" s="257"/>
    </row>
    <row r="984" spans="4:5" s="238" customFormat="1" ht="14.25" x14ac:dyDescent="0.2">
      <c r="D984" s="257"/>
      <c r="E984" s="257"/>
    </row>
    <row r="985" spans="4:5" s="238" customFormat="1" ht="14.25" x14ac:dyDescent="0.2">
      <c r="D985" s="257"/>
      <c r="E985" s="257"/>
    </row>
    <row r="986" spans="4:5" s="238" customFormat="1" ht="14.25" x14ac:dyDescent="0.2">
      <c r="D986" s="257"/>
      <c r="E986" s="257"/>
    </row>
    <row r="987" spans="4:5" s="238" customFormat="1" ht="14.25" x14ac:dyDescent="0.2">
      <c r="D987" s="257"/>
      <c r="E987" s="257"/>
    </row>
    <row r="988" spans="4:5" s="238" customFormat="1" ht="14.25" x14ac:dyDescent="0.2">
      <c r="D988" s="257"/>
      <c r="E988" s="257"/>
    </row>
    <row r="989" spans="4:5" s="238" customFormat="1" ht="14.25" x14ac:dyDescent="0.2">
      <c r="D989" s="257"/>
      <c r="E989" s="257"/>
    </row>
    <row r="990" spans="4:5" s="238" customFormat="1" ht="14.25" x14ac:dyDescent="0.2">
      <c r="D990" s="257"/>
      <c r="E990" s="257"/>
    </row>
    <row r="991" spans="4:5" s="238" customFormat="1" ht="14.25" x14ac:dyDescent="0.2">
      <c r="D991" s="257"/>
      <c r="E991" s="257"/>
    </row>
    <row r="992" spans="4:5" s="238" customFormat="1" ht="14.25" x14ac:dyDescent="0.2">
      <c r="D992" s="257"/>
      <c r="E992" s="257"/>
    </row>
    <row r="993" spans="4:5" s="238" customFormat="1" ht="14.25" x14ac:dyDescent="0.2">
      <c r="D993" s="257"/>
      <c r="E993" s="257"/>
    </row>
    <row r="994" spans="4:5" s="238" customFormat="1" ht="14.25" x14ac:dyDescent="0.2">
      <c r="D994" s="257"/>
      <c r="E994" s="257"/>
    </row>
    <row r="995" spans="4:5" s="238" customFormat="1" ht="14.25" x14ac:dyDescent="0.2">
      <c r="D995" s="257"/>
      <c r="E995" s="257"/>
    </row>
    <row r="996" spans="4:5" s="238" customFormat="1" ht="14.25" x14ac:dyDescent="0.2">
      <c r="D996" s="257"/>
      <c r="E996" s="257"/>
    </row>
    <row r="997" spans="4:5" s="238" customFormat="1" ht="14.25" x14ac:dyDescent="0.2">
      <c r="D997" s="257"/>
      <c r="E997" s="257"/>
    </row>
    <row r="998" spans="4:5" s="238" customFormat="1" ht="14.25" x14ac:dyDescent="0.2">
      <c r="D998" s="257"/>
      <c r="E998" s="257"/>
    </row>
    <row r="999" spans="4:5" s="238" customFormat="1" ht="14.25" x14ac:dyDescent="0.2">
      <c r="D999" s="257"/>
      <c r="E999" s="257"/>
    </row>
    <row r="1000" spans="4:5" s="238" customFormat="1" ht="14.25" x14ac:dyDescent="0.2">
      <c r="D1000" s="257"/>
      <c r="E1000" s="257"/>
    </row>
    <row r="1001" spans="4:5" s="238" customFormat="1" ht="14.25" x14ac:dyDescent="0.2">
      <c r="D1001" s="257"/>
      <c r="E1001" s="257"/>
    </row>
    <row r="1002" spans="4:5" s="238" customFormat="1" ht="14.25" x14ac:dyDescent="0.2">
      <c r="D1002" s="257"/>
      <c r="E1002" s="257"/>
    </row>
    <row r="1003" spans="4:5" s="238" customFormat="1" ht="14.25" x14ac:dyDescent="0.2">
      <c r="D1003" s="257"/>
      <c r="E1003" s="257"/>
    </row>
    <row r="1004" spans="4:5" s="238" customFormat="1" ht="14.25" x14ac:dyDescent="0.2">
      <c r="D1004" s="257"/>
      <c r="E1004" s="257"/>
    </row>
    <row r="1005" spans="4:5" s="238" customFormat="1" ht="14.25" x14ac:dyDescent="0.2">
      <c r="D1005" s="257"/>
      <c r="E1005" s="257"/>
    </row>
    <row r="1006" spans="4:5" s="238" customFormat="1" ht="14.25" x14ac:dyDescent="0.2">
      <c r="D1006" s="257"/>
      <c r="E1006" s="257"/>
    </row>
    <row r="1007" spans="4:5" s="238" customFormat="1" ht="14.25" x14ac:dyDescent="0.2">
      <c r="D1007" s="257"/>
      <c r="E1007" s="257"/>
    </row>
    <row r="1008" spans="4:5" s="238" customFormat="1" ht="14.25" x14ac:dyDescent="0.2">
      <c r="D1008" s="257"/>
      <c r="E1008" s="257"/>
    </row>
    <row r="1009" spans="4:5" s="238" customFormat="1" ht="14.25" x14ac:dyDescent="0.2">
      <c r="D1009" s="257"/>
      <c r="E1009" s="257"/>
    </row>
    <row r="1010" spans="4:5" s="238" customFormat="1" ht="14.25" x14ac:dyDescent="0.2">
      <c r="D1010" s="257"/>
      <c r="E1010" s="257"/>
    </row>
    <row r="1011" spans="4:5" s="238" customFormat="1" ht="14.25" x14ac:dyDescent="0.2">
      <c r="D1011" s="257"/>
      <c r="E1011" s="257"/>
    </row>
    <row r="1012" spans="4:5" s="238" customFormat="1" ht="14.25" x14ac:dyDescent="0.2">
      <c r="D1012" s="257"/>
      <c r="E1012" s="257"/>
    </row>
    <row r="1013" spans="4:5" s="238" customFormat="1" ht="14.25" x14ac:dyDescent="0.2">
      <c r="D1013" s="257"/>
      <c r="E1013" s="257"/>
    </row>
    <row r="1014" spans="4:5" s="238" customFormat="1" ht="14.25" x14ac:dyDescent="0.2">
      <c r="D1014" s="257"/>
      <c r="E1014" s="257"/>
    </row>
    <row r="1015" spans="4:5" s="238" customFormat="1" ht="14.25" x14ac:dyDescent="0.2">
      <c r="D1015" s="257"/>
      <c r="E1015" s="257"/>
    </row>
    <row r="1016" spans="4:5" s="238" customFormat="1" ht="14.25" x14ac:dyDescent="0.2">
      <c r="D1016" s="257"/>
      <c r="E1016" s="257"/>
    </row>
    <row r="1017" spans="4:5" s="238" customFormat="1" ht="14.25" x14ac:dyDescent="0.2">
      <c r="D1017" s="257"/>
      <c r="E1017" s="257"/>
    </row>
    <row r="1018" spans="4:5" s="238" customFormat="1" ht="14.25" x14ac:dyDescent="0.2">
      <c r="D1018" s="257"/>
      <c r="E1018" s="257"/>
    </row>
    <row r="1019" spans="4:5" s="238" customFormat="1" ht="14.25" x14ac:dyDescent="0.2">
      <c r="D1019" s="257"/>
      <c r="E1019" s="257"/>
    </row>
    <row r="1020" spans="4:5" s="238" customFormat="1" ht="14.25" x14ac:dyDescent="0.2">
      <c r="D1020" s="257"/>
      <c r="E1020" s="257"/>
    </row>
    <row r="1021" spans="4:5" s="238" customFormat="1" ht="14.25" x14ac:dyDescent="0.2">
      <c r="D1021" s="257"/>
      <c r="E1021" s="257"/>
    </row>
    <row r="1022" spans="4:5" s="238" customFormat="1" ht="14.25" x14ac:dyDescent="0.2">
      <c r="D1022" s="257"/>
      <c r="E1022" s="257"/>
    </row>
    <row r="1023" spans="4:5" s="238" customFormat="1" ht="14.25" x14ac:dyDescent="0.2">
      <c r="D1023" s="257"/>
      <c r="E1023" s="257"/>
    </row>
    <row r="1024" spans="4:5" s="238" customFormat="1" ht="14.25" x14ac:dyDescent="0.2">
      <c r="D1024" s="257"/>
      <c r="E1024" s="257"/>
    </row>
    <row r="1025" spans="4:5" s="238" customFormat="1" ht="14.25" x14ac:dyDescent="0.2">
      <c r="D1025" s="257"/>
      <c r="E1025" s="257"/>
    </row>
    <row r="1026" spans="4:5" s="238" customFormat="1" ht="14.25" x14ac:dyDescent="0.2">
      <c r="D1026" s="257"/>
      <c r="E1026" s="257"/>
    </row>
    <row r="1027" spans="4:5" s="238" customFormat="1" ht="14.25" x14ac:dyDescent="0.2">
      <c r="D1027" s="257"/>
      <c r="E1027" s="257"/>
    </row>
    <row r="1028" spans="4:5" s="238" customFormat="1" ht="14.25" x14ac:dyDescent="0.2">
      <c r="D1028" s="257"/>
      <c r="E1028" s="257"/>
    </row>
    <row r="1029" spans="4:5" s="238" customFormat="1" ht="14.25" x14ac:dyDescent="0.2">
      <c r="D1029" s="257"/>
      <c r="E1029" s="257"/>
    </row>
    <row r="1030" spans="4:5" s="238" customFormat="1" ht="14.25" x14ac:dyDescent="0.2">
      <c r="D1030" s="257"/>
      <c r="E1030" s="257"/>
    </row>
    <row r="1031" spans="4:5" s="238" customFormat="1" ht="14.25" x14ac:dyDescent="0.2">
      <c r="D1031" s="257"/>
      <c r="E1031" s="257"/>
    </row>
    <row r="1032" spans="4:5" s="238" customFormat="1" ht="14.25" x14ac:dyDescent="0.2">
      <c r="D1032" s="257"/>
      <c r="E1032" s="257"/>
    </row>
    <row r="1033" spans="4:5" s="238" customFormat="1" ht="14.25" x14ac:dyDescent="0.2">
      <c r="D1033" s="257"/>
      <c r="E1033" s="257"/>
    </row>
    <row r="1034" spans="4:5" s="238" customFormat="1" ht="14.25" x14ac:dyDescent="0.2">
      <c r="D1034" s="257"/>
      <c r="E1034" s="257"/>
    </row>
    <row r="1035" spans="4:5" s="238" customFormat="1" ht="14.25" x14ac:dyDescent="0.2">
      <c r="D1035" s="257"/>
      <c r="E1035" s="257"/>
    </row>
    <row r="1036" spans="4:5" s="238" customFormat="1" ht="14.25" x14ac:dyDescent="0.2">
      <c r="D1036" s="257"/>
      <c r="E1036" s="257"/>
    </row>
    <row r="1037" spans="4:5" s="238" customFormat="1" ht="14.25" x14ac:dyDescent="0.2">
      <c r="D1037" s="257"/>
      <c r="E1037" s="257"/>
    </row>
    <row r="1038" spans="4:5" s="238" customFormat="1" ht="14.25" x14ac:dyDescent="0.2">
      <c r="D1038" s="257"/>
      <c r="E1038" s="257"/>
    </row>
    <row r="1039" spans="4:5" s="238" customFormat="1" ht="14.25" x14ac:dyDescent="0.2">
      <c r="D1039" s="257"/>
      <c r="E1039" s="257"/>
    </row>
    <row r="1040" spans="4:5" s="238" customFormat="1" ht="14.25" x14ac:dyDescent="0.2">
      <c r="D1040" s="257"/>
      <c r="E1040" s="257"/>
    </row>
    <row r="1041" spans="4:5" s="238" customFormat="1" ht="14.25" x14ac:dyDescent="0.2">
      <c r="D1041" s="257"/>
      <c r="E1041" s="257"/>
    </row>
    <row r="1042" spans="4:5" s="238" customFormat="1" ht="14.25" x14ac:dyDescent="0.2">
      <c r="D1042" s="257"/>
      <c r="E1042" s="257"/>
    </row>
    <row r="1043" spans="4:5" s="238" customFormat="1" ht="14.25" x14ac:dyDescent="0.2">
      <c r="D1043" s="257"/>
      <c r="E1043" s="257"/>
    </row>
    <row r="1044" spans="4:5" s="238" customFormat="1" ht="14.25" x14ac:dyDescent="0.2">
      <c r="D1044" s="257"/>
      <c r="E1044" s="257"/>
    </row>
    <row r="1045" spans="4:5" s="238" customFormat="1" ht="14.25" x14ac:dyDescent="0.2">
      <c r="D1045" s="257"/>
      <c r="E1045" s="257"/>
    </row>
    <row r="1046" spans="4:5" s="238" customFormat="1" ht="14.25" x14ac:dyDescent="0.2">
      <c r="D1046" s="257"/>
      <c r="E1046" s="257"/>
    </row>
    <row r="1047" spans="4:5" s="238" customFormat="1" ht="14.25" x14ac:dyDescent="0.2">
      <c r="D1047" s="257"/>
      <c r="E1047" s="257"/>
    </row>
    <row r="1048" spans="4:5" s="238" customFormat="1" ht="14.25" x14ac:dyDescent="0.2">
      <c r="D1048" s="257"/>
      <c r="E1048" s="257"/>
    </row>
    <row r="1049" spans="4:5" s="238" customFormat="1" ht="14.25" x14ac:dyDescent="0.2">
      <c r="D1049" s="257"/>
      <c r="E1049" s="257"/>
    </row>
    <row r="1050" spans="4:5" s="238" customFormat="1" ht="14.25" x14ac:dyDescent="0.2">
      <c r="D1050" s="257"/>
      <c r="E1050" s="257"/>
    </row>
    <row r="1051" spans="4:5" s="238" customFormat="1" ht="14.25" x14ac:dyDescent="0.2">
      <c r="D1051" s="257"/>
      <c r="E1051" s="257"/>
    </row>
    <row r="1052" spans="4:5" s="238" customFormat="1" ht="14.25" x14ac:dyDescent="0.2">
      <c r="D1052" s="257"/>
      <c r="E1052" s="257"/>
    </row>
    <row r="1053" spans="4:5" s="238" customFormat="1" ht="14.25" x14ac:dyDescent="0.2">
      <c r="D1053" s="257"/>
      <c r="E1053" s="257"/>
    </row>
    <row r="1054" spans="4:5" s="238" customFormat="1" ht="14.25" x14ac:dyDescent="0.2">
      <c r="D1054" s="257"/>
      <c r="E1054" s="257"/>
    </row>
    <row r="1055" spans="4:5" s="238" customFormat="1" ht="14.25" x14ac:dyDescent="0.2">
      <c r="D1055" s="257"/>
      <c r="E1055" s="257"/>
    </row>
    <row r="1056" spans="4:5" s="238" customFormat="1" ht="14.25" x14ac:dyDescent="0.2">
      <c r="D1056" s="257"/>
      <c r="E1056" s="257"/>
    </row>
    <row r="1057" spans="4:5" s="238" customFormat="1" ht="14.25" x14ac:dyDescent="0.2">
      <c r="D1057" s="257"/>
      <c r="E1057" s="257"/>
    </row>
    <row r="1058" spans="4:5" s="238" customFormat="1" ht="14.25" x14ac:dyDescent="0.2">
      <c r="D1058" s="257"/>
      <c r="E1058" s="257"/>
    </row>
    <row r="1059" spans="4:5" s="238" customFormat="1" ht="14.25" x14ac:dyDescent="0.2">
      <c r="D1059" s="257"/>
      <c r="E1059" s="257"/>
    </row>
    <row r="1060" spans="4:5" s="238" customFormat="1" ht="14.25" x14ac:dyDescent="0.2">
      <c r="D1060" s="257"/>
      <c r="E1060" s="257"/>
    </row>
    <row r="1061" spans="4:5" s="238" customFormat="1" ht="14.25" x14ac:dyDescent="0.2">
      <c r="D1061" s="257"/>
      <c r="E1061" s="257"/>
    </row>
    <row r="1062" spans="4:5" s="238" customFormat="1" ht="14.25" x14ac:dyDescent="0.2">
      <c r="D1062" s="257"/>
      <c r="E1062" s="257"/>
    </row>
    <row r="1063" spans="4:5" s="238" customFormat="1" ht="14.25" x14ac:dyDescent="0.2">
      <c r="D1063" s="257"/>
      <c r="E1063" s="257"/>
    </row>
    <row r="1064" spans="4:5" s="238" customFormat="1" ht="14.25" x14ac:dyDescent="0.2">
      <c r="D1064" s="257"/>
      <c r="E1064" s="257"/>
    </row>
    <row r="1065" spans="4:5" s="238" customFormat="1" ht="14.25" x14ac:dyDescent="0.2">
      <c r="D1065" s="257"/>
      <c r="E1065" s="257"/>
    </row>
    <row r="1066" spans="4:5" s="238" customFormat="1" ht="14.25" x14ac:dyDescent="0.2">
      <c r="D1066" s="257"/>
      <c r="E1066" s="257"/>
    </row>
    <row r="1067" spans="4:5" s="238" customFormat="1" ht="14.25" x14ac:dyDescent="0.2">
      <c r="D1067" s="257"/>
      <c r="E1067" s="257"/>
    </row>
    <row r="1068" spans="4:5" s="238" customFormat="1" ht="14.25" x14ac:dyDescent="0.2">
      <c r="D1068" s="257"/>
      <c r="E1068" s="257"/>
    </row>
    <row r="1069" spans="4:5" s="238" customFormat="1" ht="14.25" x14ac:dyDescent="0.2">
      <c r="D1069" s="257"/>
      <c r="E1069" s="257"/>
    </row>
    <row r="1070" spans="4:5" s="238" customFormat="1" ht="14.25" x14ac:dyDescent="0.2">
      <c r="D1070" s="257"/>
      <c r="E1070" s="257"/>
    </row>
    <row r="1071" spans="4:5" s="238" customFormat="1" ht="14.25" x14ac:dyDescent="0.2">
      <c r="D1071" s="257"/>
      <c r="E1071" s="257"/>
    </row>
    <row r="1072" spans="4:5" s="238" customFormat="1" ht="14.25" x14ac:dyDescent="0.2">
      <c r="D1072" s="257"/>
      <c r="E1072" s="257"/>
    </row>
    <row r="1073" spans="4:5" s="238" customFormat="1" ht="14.25" x14ac:dyDescent="0.2">
      <c r="D1073" s="257"/>
      <c r="E1073" s="257"/>
    </row>
    <row r="1074" spans="4:5" s="238" customFormat="1" ht="14.25" x14ac:dyDescent="0.2">
      <c r="D1074" s="257"/>
      <c r="E1074" s="257"/>
    </row>
    <row r="1075" spans="4:5" s="238" customFormat="1" ht="14.25" x14ac:dyDescent="0.2">
      <c r="D1075" s="257"/>
      <c r="E1075" s="257"/>
    </row>
    <row r="1076" spans="4:5" s="238" customFormat="1" ht="14.25" x14ac:dyDescent="0.2">
      <c r="D1076" s="257"/>
      <c r="E1076" s="257"/>
    </row>
    <row r="1077" spans="4:5" s="238" customFormat="1" ht="14.25" x14ac:dyDescent="0.2">
      <c r="D1077" s="257"/>
      <c r="E1077" s="257"/>
    </row>
    <row r="1078" spans="4:5" s="238" customFormat="1" ht="14.25" x14ac:dyDescent="0.2">
      <c r="D1078" s="257"/>
      <c r="E1078" s="257"/>
    </row>
    <row r="1079" spans="4:5" s="238" customFormat="1" ht="14.25" x14ac:dyDescent="0.2">
      <c r="D1079" s="257"/>
      <c r="E1079" s="257"/>
    </row>
    <row r="1080" spans="4:5" s="238" customFormat="1" ht="14.25" x14ac:dyDescent="0.2">
      <c r="D1080" s="257"/>
      <c r="E1080" s="257"/>
    </row>
    <row r="1081" spans="4:5" s="238" customFormat="1" ht="14.25" x14ac:dyDescent="0.2">
      <c r="D1081" s="257"/>
      <c r="E1081" s="257"/>
    </row>
    <row r="1082" spans="4:5" s="238" customFormat="1" ht="14.25" x14ac:dyDescent="0.2">
      <c r="D1082" s="257"/>
      <c r="E1082" s="257"/>
    </row>
    <row r="1083" spans="4:5" s="238" customFormat="1" ht="14.25" x14ac:dyDescent="0.2">
      <c r="D1083" s="257"/>
      <c r="E1083" s="257"/>
    </row>
    <row r="1084" spans="4:5" s="238" customFormat="1" ht="14.25" x14ac:dyDescent="0.2">
      <c r="D1084" s="257"/>
      <c r="E1084" s="257"/>
    </row>
    <row r="1085" spans="4:5" s="238" customFormat="1" ht="14.25" x14ac:dyDescent="0.2">
      <c r="D1085" s="257"/>
      <c r="E1085" s="257"/>
    </row>
    <row r="1086" spans="4:5" s="238" customFormat="1" ht="14.25" x14ac:dyDescent="0.2">
      <c r="D1086" s="257"/>
      <c r="E1086" s="257"/>
    </row>
    <row r="1087" spans="4:5" s="238" customFormat="1" ht="14.25" x14ac:dyDescent="0.2">
      <c r="D1087" s="257"/>
      <c r="E1087" s="257"/>
    </row>
    <row r="1088" spans="4:5" s="238" customFormat="1" ht="14.25" x14ac:dyDescent="0.2">
      <c r="D1088" s="257"/>
      <c r="E1088" s="257"/>
    </row>
    <row r="1089" spans="4:5" s="238" customFormat="1" ht="14.25" x14ac:dyDescent="0.2">
      <c r="D1089" s="257"/>
      <c r="E1089" s="257"/>
    </row>
    <row r="1090" spans="4:5" s="238" customFormat="1" ht="14.25" x14ac:dyDescent="0.2">
      <c r="D1090" s="257"/>
      <c r="E1090" s="257"/>
    </row>
    <row r="1091" spans="4:5" s="238" customFormat="1" ht="14.25" x14ac:dyDescent="0.2">
      <c r="D1091" s="257"/>
      <c r="E1091" s="257"/>
    </row>
    <row r="1092" spans="4:5" s="238" customFormat="1" ht="14.25" x14ac:dyDescent="0.2">
      <c r="D1092" s="257"/>
      <c r="E1092" s="257"/>
    </row>
    <row r="1093" spans="4:5" s="238" customFormat="1" ht="14.25" x14ac:dyDescent="0.2">
      <c r="D1093" s="257"/>
      <c r="E1093" s="257"/>
    </row>
    <row r="1094" spans="4:5" s="238" customFormat="1" ht="14.25" x14ac:dyDescent="0.2">
      <c r="D1094" s="257"/>
      <c r="E1094" s="257"/>
    </row>
    <row r="1095" spans="4:5" s="238" customFormat="1" ht="14.25" x14ac:dyDescent="0.2">
      <c r="D1095" s="257"/>
      <c r="E1095" s="257"/>
    </row>
    <row r="1096" spans="4:5" s="238" customFormat="1" ht="14.25" x14ac:dyDescent="0.2">
      <c r="D1096" s="257"/>
      <c r="E1096" s="257"/>
    </row>
    <row r="1097" spans="4:5" s="238" customFormat="1" ht="14.25" x14ac:dyDescent="0.2">
      <c r="D1097" s="257"/>
      <c r="E1097" s="257"/>
    </row>
    <row r="1098" spans="4:5" s="238" customFormat="1" ht="14.25" x14ac:dyDescent="0.2">
      <c r="D1098" s="257"/>
      <c r="E1098" s="257"/>
    </row>
    <row r="1099" spans="4:5" s="238" customFormat="1" ht="14.25" x14ac:dyDescent="0.2">
      <c r="D1099" s="257"/>
      <c r="E1099" s="257"/>
    </row>
    <row r="1100" spans="4:5" s="238" customFormat="1" ht="14.25" x14ac:dyDescent="0.2">
      <c r="D1100" s="257"/>
      <c r="E1100" s="257"/>
    </row>
    <row r="1101" spans="4:5" s="238" customFormat="1" ht="14.25" x14ac:dyDescent="0.2">
      <c r="D1101" s="257"/>
      <c r="E1101" s="257"/>
    </row>
    <row r="1102" spans="4:5" s="238" customFormat="1" ht="14.25" x14ac:dyDescent="0.2">
      <c r="D1102" s="257"/>
      <c r="E1102" s="257"/>
    </row>
    <row r="1103" spans="4:5" s="238" customFormat="1" ht="14.25" x14ac:dyDescent="0.2">
      <c r="D1103" s="257"/>
      <c r="E1103" s="257"/>
    </row>
    <row r="1104" spans="4:5" s="238" customFormat="1" ht="14.25" x14ac:dyDescent="0.2">
      <c r="D1104" s="257"/>
      <c r="E1104" s="257"/>
    </row>
    <row r="1105" spans="4:5" s="238" customFormat="1" ht="14.25" x14ac:dyDescent="0.2">
      <c r="D1105" s="257"/>
      <c r="E1105" s="257"/>
    </row>
    <row r="1106" spans="4:5" s="238" customFormat="1" ht="14.25" x14ac:dyDescent="0.2">
      <c r="D1106" s="257"/>
      <c r="E1106" s="257"/>
    </row>
    <row r="1107" spans="4:5" s="238" customFormat="1" ht="14.25" x14ac:dyDescent="0.2">
      <c r="D1107" s="257"/>
      <c r="E1107" s="257"/>
    </row>
    <row r="1108" spans="4:5" s="238" customFormat="1" ht="14.25" x14ac:dyDescent="0.2">
      <c r="D1108" s="257"/>
      <c r="E1108" s="257"/>
    </row>
    <row r="1109" spans="4:5" s="238" customFormat="1" ht="14.25" x14ac:dyDescent="0.2">
      <c r="D1109" s="257"/>
      <c r="E1109" s="257"/>
    </row>
    <row r="1110" spans="4:5" s="238" customFormat="1" ht="14.25" x14ac:dyDescent="0.2">
      <c r="D1110" s="257"/>
      <c r="E1110" s="257"/>
    </row>
    <row r="1111" spans="4:5" s="238" customFormat="1" ht="14.25" x14ac:dyDescent="0.2">
      <c r="D1111" s="257"/>
      <c r="E1111" s="257"/>
    </row>
    <row r="1112" spans="4:5" s="238" customFormat="1" ht="14.25" x14ac:dyDescent="0.2">
      <c r="D1112" s="257"/>
      <c r="E1112" s="257"/>
    </row>
    <row r="1113" spans="4:5" s="238" customFormat="1" ht="14.25" x14ac:dyDescent="0.2">
      <c r="D1113" s="257"/>
      <c r="E1113" s="257"/>
    </row>
    <row r="1114" spans="4:5" s="238" customFormat="1" ht="14.25" x14ac:dyDescent="0.2">
      <c r="D1114" s="257"/>
      <c r="E1114" s="257"/>
    </row>
    <row r="1115" spans="4:5" s="238" customFormat="1" ht="14.25" x14ac:dyDescent="0.2">
      <c r="D1115" s="257"/>
      <c r="E1115" s="257"/>
    </row>
    <row r="1116" spans="4:5" s="238" customFormat="1" ht="14.25" x14ac:dyDescent="0.2">
      <c r="D1116" s="257"/>
      <c r="E1116" s="257"/>
    </row>
    <row r="1117" spans="4:5" s="238" customFormat="1" ht="14.25" x14ac:dyDescent="0.2">
      <c r="D1117" s="257"/>
      <c r="E1117" s="257"/>
    </row>
    <row r="1118" spans="4:5" s="238" customFormat="1" ht="14.25" x14ac:dyDescent="0.2">
      <c r="D1118" s="257"/>
      <c r="E1118" s="257"/>
    </row>
    <row r="1119" spans="4:5" s="238" customFormat="1" ht="14.25" x14ac:dyDescent="0.2">
      <c r="D1119" s="257"/>
      <c r="E1119" s="257"/>
    </row>
    <row r="1120" spans="4:5" s="238" customFormat="1" ht="14.25" x14ac:dyDescent="0.2">
      <c r="D1120" s="257"/>
      <c r="E1120" s="257"/>
    </row>
    <row r="1121" spans="4:5" s="238" customFormat="1" ht="14.25" x14ac:dyDescent="0.2">
      <c r="D1121" s="257"/>
      <c r="E1121" s="257"/>
    </row>
    <row r="1122" spans="4:5" s="238" customFormat="1" ht="14.25" x14ac:dyDescent="0.2">
      <c r="D1122" s="257"/>
      <c r="E1122" s="257"/>
    </row>
    <row r="1123" spans="4:5" s="238" customFormat="1" ht="14.25" x14ac:dyDescent="0.2">
      <c r="D1123" s="257"/>
      <c r="E1123" s="257"/>
    </row>
    <row r="1124" spans="4:5" s="238" customFormat="1" ht="14.25" x14ac:dyDescent="0.2">
      <c r="D1124" s="257"/>
      <c r="E1124" s="257"/>
    </row>
    <row r="1125" spans="4:5" s="238" customFormat="1" ht="14.25" x14ac:dyDescent="0.2">
      <c r="D1125" s="257"/>
      <c r="E1125" s="257"/>
    </row>
    <row r="1126" spans="4:5" s="238" customFormat="1" ht="14.25" x14ac:dyDescent="0.2">
      <c r="D1126" s="257"/>
      <c r="E1126" s="257"/>
    </row>
    <row r="1127" spans="4:5" s="238" customFormat="1" ht="14.25" x14ac:dyDescent="0.2">
      <c r="D1127" s="257"/>
      <c r="E1127" s="257"/>
    </row>
    <row r="1128" spans="4:5" s="238" customFormat="1" ht="14.25" x14ac:dyDescent="0.2">
      <c r="D1128" s="257"/>
      <c r="E1128" s="257"/>
    </row>
    <row r="1129" spans="4:5" s="238" customFormat="1" ht="14.25" x14ac:dyDescent="0.2">
      <c r="D1129" s="257"/>
      <c r="E1129" s="257"/>
    </row>
    <row r="1130" spans="4:5" s="238" customFormat="1" ht="14.25" x14ac:dyDescent="0.2">
      <c r="D1130" s="257"/>
      <c r="E1130" s="257"/>
    </row>
    <row r="1131" spans="4:5" s="238" customFormat="1" ht="14.25" x14ac:dyDescent="0.2">
      <c r="D1131" s="257"/>
      <c r="E1131" s="257"/>
    </row>
    <row r="1132" spans="4:5" s="238" customFormat="1" ht="14.25" x14ac:dyDescent="0.2">
      <c r="D1132" s="257"/>
      <c r="E1132" s="257"/>
    </row>
    <row r="1133" spans="4:5" s="238" customFormat="1" ht="14.25" x14ac:dyDescent="0.2">
      <c r="D1133" s="257"/>
      <c r="E1133" s="257"/>
    </row>
    <row r="1134" spans="4:5" s="238" customFormat="1" ht="14.25" x14ac:dyDescent="0.2">
      <c r="D1134" s="257"/>
      <c r="E1134" s="257"/>
    </row>
    <row r="1135" spans="4:5" s="238" customFormat="1" ht="14.25" x14ac:dyDescent="0.2">
      <c r="D1135" s="257"/>
      <c r="E1135" s="257"/>
    </row>
    <row r="1136" spans="4:5" s="238" customFormat="1" ht="14.25" x14ac:dyDescent="0.2">
      <c r="D1136" s="257"/>
      <c r="E1136" s="257"/>
    </row>
    <row r="1137" spans="4:5" s="238" customFormat="1" ht="14.25" x14ac:dyDescent="0.2">
      <c r="D1137" s="257"/>
      <c r="E1137" s="257"/>
    </row>
    <row r="1138" spans="4:5" s="238" customFormat="1" ht="14.25" x14ac:dyDescent="0.2">
      <c r="D1138" s="257"/>
      <c r="E1138" s="257"/>
    </row>
    <row r="1139" spans="4:5" s="238" customFormat="1" ht="14.25" x14ac:dyDescent="0.2">
      <c r="D1139" s="257"/>
      <c r="E1139" s="257"/>
    </row>
    <row r="1140" spans="4:5" s="238" customFormat="1" ht="14.25" x14ac:dyDescent="0.2">
      <c r="D1140" s="257"/>
      <c r="E1140" s="257"/>
    </row>
    <row r="1141" spans="4:5" s="238" customFormat="1" ht="14.25" x14ac:dyDescent="0.2">
      <c r="D1141" s="257"/>
      <c r="E1141" s="257"/>
    </row>
    <row r="1142" spans="4:5" s="238" customFormat="1" ht="14.25" x14ac:dyDescent="0.2">
      <c r="D1142" s="257"/>
      <c r="E1142" s="257"/>
    </row>
    <row r="1143" spans="4:5" s="238" customFormat="1" ht="14.25" x14ac:dyDescent="0.2">
      <c r="D1143" s="257"/>
      <c r="E1143" s="257"/>
    </row>
    <row r="1144" spans="4:5" s="238" customFormat="1" ht="14.25" x14ac:dyDescent="0.2">
      <c r="D1144" s="257"/>
      <c r="E1144" s="257"/>
    </row>
    <row r="1145" spans="4:5" s="238" customFormat="1" ht="14.25" x14ac:dyDescent="0.2">
      <c r="D1145" s="257"/>
      <c r="E1145" s="257"/>
    </row>
    <row r="1146" spans="4:5" s="238" customFormat="1" ht="14.25" x14ac:dyDescent="0.2">
      <c r="D1146" s="257"/>
      <c r="E1146" s="257"/>
    </row>
    <row r="1147" spans="4:5" s="238" customFormat="1" ht="14.25" x14ac:dyDescent="0.2">
      <c r="D1147" s="257"/>
      <c r="E1147" s="257"/>
    </row>
    <row r="1148" spans="4:5" s="238" customFormat="1" ht="14.25" x14ac:dyDescent="0.2">
      <c r="D1148" s="257"/>
      <c r="E1148" s="257"/>
    </row>
    <row r="1149" spans="4:5" s="238" customFormat="1" ht="14.25" x14ac:dyDescent="0.2">
      <c r="D1149" s="257"/>
      <c r="E1149" s="257"/>
    </row>
    <row r="1150" spans="4:5" s="238" customFormat="1" ht="14.25" x14ac:dyDescent="0.2">
      <c r="D1150" s="257"/>
      <c r="E1150" s="257"/>
    </row>
    <row r="1151" spans="4:5" s="238" customFormat="1" ht="14.25" x14ac:dyDescent="0.2">
      <c r="D1151" s="257"/>
      <c r="E1151" s="257"/>
    </row>
    <row r="1152" spans="4:5" s="238" customFormat="1" ht="14.25" x14ac:dyDescent="0.2">
      <c r="D1152" s="257"/>
      <c r="E1152" s="257"/>
    </row>
    <row r="1153" spans="4:5" s="238" customFormat="1" ht="14.25" x14ac:dyDescent="0.2">
      <c r="D1153" s="257"/>
      <c r="E1153" s="257"/>
    </row>
    <row r="1154" spans="4:5" s="238" customFormat="1" ht="14.25" x14ac:dyDescent="0.2">
      <c r="D1154" s="257"/>
      <c r="E1154" s="257"/>
    </row>
    <row r="1155" spans="4:5" s="238" customFormat="1" ht="14.25" x14ac:dyDescent="0.2">
      <c r="D1155" s="257"/>
      <c r="E1155" s="257"/>
    </row>
    <row r="1156" spans="4:5" s="238" customFormat="1" ht="14.25" x14ac:dyDescent="0.2">
      <c r="D1156" s="257"/>
      <c r="E1156" s="257"/>
    </row>
    <row r="1157" spans="4:5" s="238" customFormat="1" ht="14.25" x14ac:dyDescent="0.2">
      <c r="D1157" s="257"/>
      <c r="E1157" s="257"/>
    </row>
    <row r="1158" spans="4:5" s="238" customFormat="1" ht="14.25" x14ac:dyDescent="0.2">
      <c r="D1158" s="257"/>
      <c r="E1158" s="257"/>
    </row>
    <row r="1159" spans="4:5" s="238" customFormat="1" ht="14.25" x14ac:dyDescent="0.2">
      <c r="D1159" s="257"/>
      <c r="E1159" s="257"/>
    </row>
    <row r="1160" spans="4:5" s="238" customFormat="1" ht="14.25" x14ac:dyDescent="0.2">
      <c r="D1160" s="257"/>
      <c r="E1160" s="257"/>
    </row>
    <row r="1161" spans="4:5" s="238" customFormat="1" ht="14.25" x14ac:dyDescent="0.2">
      <c r="D1161" s="257"/>
      <c r="E1161" s="257"/>
    </row>
    <row r="1162" spans="4:5" s="238" customFormat="1" ht="14.25" x14ac:dyDescent="0.2">
      <c r="D1162" s="257"/>
      <c r="E1162" s="257"/>
    </row>
    <row r="1163" spans="4:5" s="238" customFormat="1" ht="14.25" x14ac:dyDescent="0.2">
      <c r="D1163" s="257"/>
      <c r="E1163" s="257"/>
    </row>
    <row r="1164" spans="4:5" s="238" customFormat="1" ht="14.25" x14ac:dyDescent="0.2">
      <c r="D1164" s="257"/>
      <c r="E1164" s="257"/>
    </row>
    <row r="1165" spans="4:5" s="238" customFormat="1" ht="14.25" x14ac:dyDescent="0.2">
      <c r="D1165" s="257"/>
      <c r="E1165" s="257"/>
    </row>
    <row r="1166" spans="4:5" s="238" customFormat="1" ht="14.25" x14ac:dyDescent="0.2">
      <c r="D1166" s="257"/>
      <c r="E1166" s="257"/>
    </row>
    <row r="1167" spans="4:5" s="238" customFormat="1" ht="14.25" x14ac:dyDescent="0.2">
      <c r="D1167" s="257"/>
      <c r="E1167" s="257"/>
    </row>
    <row r="1168" spans="4:5" s="238" customFormat="1" ht="14.25" x14ac:dyDescent="0.2">
      <c r="D1168" s="257"/>
      <c r="E1168" s="257"/>
    </row>
    <row r="1169" spans="4:5" s="238" customFormat="1" ht="14.25" x14ac:dyDescent="0.2">
      <c r="D1169" s="257"/>
      <c r="E1169" s="257"/>
    </row>
    <row r="1170" spans="4:5" s="238" customFormat="1" ht="14.25" x14ac:dyDescent="0.2">
      <c r="D1170" s="257"/>
      <c r="E1170" s="257"/>
    </row>
    <row r="1171" spans="4:5" s="238" customFormat="1" ht="14.25" x14ac:dyDescent="0.2">
      <c r="D1171" s="257"/>
      <c r="E1171" s="257"/>
    </row>
    <row r="1172" spans="4:5" s="238" customFormat="1" ht="14.25" x14ac:dyDescent="0.2">
      <c r="D1172" s="257"/>
      <c r="E1172" s="257"/>
    </row>
    <row r="1173" spans="4:5" s="238" customFormat="1" ht="14.25" x14ac:dyDescent="0.2">
      <c r="D1173" s="257"/>
      <c r="E1173" s="257"/>
    </row>
    <row r="1174" spans="4:5" s="238" customFormat="1" ht="14.25" x14ac:dyDescent="0.2">
      <c r="D1174" s="257"/>
      <c r="E1174" s="257"/>
    </row>
    <row r="1175" spans="4:5" s="238" customFormat="1" ht="14.25" x14ac:dyDescent="0.2">
      <c r="D1175" s="257"/>
      <c r="E1175" s="257"/>
    </row>
    <row r="1176" spans="4:5" s="238" customFormat="1" ht="14.25" x14ac:dyDescent="0.2">
      <c r="D1176" s="257"/>
      <c r="E1176" s="257"/>
    </row>
    <row r="1177" spans="4:5" s="238" customFormat="1" ht="14.25" x14ac:dyDescent="0.2">
      <c r="D1177" s="257"/>
      <c r="E1177" s="257"/>
    </row>
    <row r="1178" spans="4:5" s="238" customFormat="1" ht="14.25" x14ac:dyDescent="0.2">
      <c r="D1178" s="257"/>
      <c r="E1178" s="257"/>
    </row>
    <row r="1179" spans="4:5" s="238" customFormat="1" ht="14.25" x14ac:dyDescent="0.2">
      <c r="D1179" s="257"/>
      <c r="E1179" s="257"/>
    </row>
    <row r="1180" spans="4:5" s="238" customFormat="1" ht="14.25" x14ac:dyDescent="0.2">
      <c r="D1180" s="257"/>
      <c r="E1180" s="257"/>
    </row>
    <row r="1181" spans="4:5" s="238" customFormat="1" ht="14.25" x14ac:dyDescent="0.2">
      <c r="D1181" s="257"/>
      <c r="E1181" s="257"/>
    </row>
    <row r="1182" spans="4:5" s="238" customFormat="1" ht="14.25" x14ac:dyDescent="0.2">
      <c r="D1182" s="257"/>
      <c r="E1182" s="257"/>
    </row>
    <row r="1183" spans="4:5" s="238" customFormat="1" ht="14.25" x14ac:dyDescent="0.2">
      <c r="D1183" s="257"/>
      <c r="E1183" s="257"/>
    </row>
    <row r="1184" spans="4:5" s="238" customFormat="1" ht="14.25" x14ac:dyDescent="0.2">
      <c r="D1184" s="257"/>
      <c r="E1184" s="257"/>
    </row>
    <row r="1185" spans="4:5" s="238" customFormat="1" ht="14.25" x14ac:dyDescent="0.2">
      <c r="D1185" s="257"/>
      <c r="E1185" s="257"/>
    </row>
    <row r="1186" spans="4:5" s="238" customFormat="1" ht="14.25" x14ac:dyDescent="0.2">
      <c r="D1186" s="257"/>
      <c r="E1186" s="257"/>
    </row>
    <row r="1187" spans="4:5" s="238" customFormat="1" ht="14.25" x14ac:dyDescent="0.2">
      <c r="D1187" s="257"/>
      <c r="E1187" s="257"/>
    </row>
    <row r="1188" spans="4:5" s="238" customFormat="1" ht="14.25" x14ac:dyDescent="0.2">
      <c r="D1188" s="257"/>
      <c r="E1188" s="257"/>
    </row>
    <row r="1189" spans="4:5" s="238" customFormat="1" ht="14.25" x14ac:dyDescent="0.2">
      <c r="D1189" s="257"/>
      <c r="E1189" s="257"/>
    </row>
    <row r="1190" spans="4:5" s="238" customFormat="1" ht="14.25" x14ac:dyDescent="0.2">
      <c r="D1190" s="257"/>
      <c r="E1190" s="257"/>
    </row>
    <row r="1191" spans="4:5" s="238" customFormat="1" ht="14.25" x14ac:dyDescent="0.2">
      <c r="D1191" s="257"/>
      <c r="E1191" s="257"/>
    </row>
    <row r="1192" spans="4:5" s="238" customFormat="1" ht="14.25" x14ac:dyDescent="0.2">
      <c r="D1192" s="257"/>
      <c r="E1192" s="257"/>
    </row>
    <row r="1193" spans="4:5" s="238" customFormat="1" ht="14.25" x14ac:dyDescent="0.2">
      <c r="D1193" s="257"/>
      <c r="E1193" s="257"/>
    </row>
    <row r="1194" spans="4:5" s="238" customFormat="1" ht="14.25" x14ac:dyDescent="0.2">
      <c r="D1194" s="257"/>
      <c r="E1194" s="257"/>
    </row>
    <row r="1195" spans="4:5" s="238" customFormat="1" ht="14.25" x14ac:dyDescent="0.2">
      <c r="D1195" s="257"/>
      <c r="E1195" s="257"/>
    </row>
    <row r="1196" spans="4:5" s="238" customFormat="1" ht="14.25" x14ac:dyDescent="0.2">
      <c r="D1196" s="257"/>
      <c r="E1196" s="257"/>
    </row>
    <row r="1197" spans="4:5" s="238" customFormat="1" ht="14.25" x14ac:dyDescent="0.2">
      <c r="D1197" s="257"/>
      <c r="E1197" s="257"/>
    </row>
    <row r="1198" spans="4:5" s="238" customFormat="1" ht="14.25" x14ac:dyDescent="0.2">
      <c r="D1198" s="257"/>
      <c r="E1198" s="257"/>
    </row>
    <row r="1199" spans="4:5" s="238" customFormat="1" ht="14.25" x14ac:dyDescent="0.2">
      <c r="D1199" s="257"/>
      <c r="E1199" s="257"/>
    </row>
    <row r="1200" spans="4:5" s="238" customFormat="1" ht="14.25" x14ac:dyDescent="0.2">
      <c r="D1200" s="257"/>
      <c r="E1200" s="257"/>
    </row>
    <row r="1201" spans="4:5" s="238" customFormat="1" ht="14.25" x14ac:dyDescent="0.2">
      <c r="D1201" s="257"/>
      <c r="E1201" s="257"/>
    </row>
    <row r="1202" spans="4:5" s="238" customFormat="1" ht="14.25" x14ac:dyDescent="0.2">
      <c r="D1202" s="257"/>
      <c r="E1202" s="257"/>
    </row>
    <row r="1203" spans="4:5" s="238" customFormat="1" ht="14.25" x14ac:dyDescent="0.2">
      <c r="D1203" s="257"/>
      <c r="E1203" s="257"/>
    </row>
    <row r="1204" spans="4:5" s="238" customFormat="1" ht="14.25" x14ac:dyDescent="0.2">
      <c r="D1204" s="257"/>
      <c r="E1204" s="257"/>
    </row>
    <row r="1205" spans="4:5" s="238" customFormat="1" ht="14.25" x14ac:dyDescent="0.2">
      <c r="D1205" s="257"/>
      <c r="E1205" s="257"/>
    </row>
    <row r="1206" spans="4:5" s="238" customFormat="1" ht="14.25" x14ac:dyDescent="0.2">
      <c r="D1206" s="257"/>
      <c r="E1206" s="257"/>
    </row>
    <row r="1207" spans="4:5" s="238" customFormat="1" ht="14.25" x14ac:dyDescent="0.2">
      <c r="D1207" s="257"/>
      <c r="E1207" s="257"/>
    </row>
    <row r="1208" spans="4:5" s="238" customFormat="1" ht="14.25" x14ac:dyDescent="0.2">
      <c r="D1208" s="257"/>
      <c r="E1208" s="257"/>
    </row>
    <row r="1209" spans="4:5" s="238" customFormat="1" ht="14.25" x14ac:dyDescent="0.2">
      <c r="D1209" s="257"/>
      <c r="E1209" s="257"/>
    </row>
    <row r="1210" spans="4:5" s="238" customFormat="1" ht="14.25" x14ac:dyDescent="0.2">
      <c r="D1210" s="257"/>
      <c r="E1210" s="257"/>
    </row>
    <row r="1211" spans="4:5" s="238" customFormat="1" ht="14.25" x14ac:dyDescent="0.2">
      <c r="D1211" s="257"/>
      <c r="E1211" s="257"/>
    </row>
    <row r="1212" spans="4:5" s="238" customFormat="1" ht="14.25" x14ac:dyDescent="0.2">
      <c r="D1212" s="257"/>
      <c r="E1212" s="257"/>
    </row>
    <row r="1213" spans="4:5" s="238" customFormat="1" ht="14.25" x14ac:dyDescent="0.2">
      <c r="D1213" s="257"/>
      <c r="E1213" s="257"/>
    </row>
    <row r="1214" spans="4:5" s="238" customFormat="1" ht="14.25" x14ac:dyDescent="0.2">
      <c r="D1214" s="257"/>
      <c r="E1214" s="257"/>
    </row>
    <row r="1215" spans="4:5" s="238" customFormat="1" ht="14.25" x14ac:dyDescent="0.2">
      <c r="D1215" s="257"/>
      <c r="E1215" s="257"/>
    </row>
    <row r="1216" spans="4:5" s="238" customFormat="1" ht="14.25" x14ac:dyDescent="0.2">
      <c r="D1216" s="257"/>
      <c r="E1216" s="257"/>
    </row>
    <row r="1217" spans="4:5" s="238" customFormat="1" ht="14.25" x14ac:dyDescent="0.2">
      <c r="D1217" s="257"/>
      <c r="E1217" s="257"/>
    </row>
    <row r="1218" spans="4:5" s="238" customFormat="1" ht="14.25" x14ac:dyDescent="0.2">
      <c r="D1218" s="257"/>
      <c r="E1218" s="257"/>
    </row>
    <row r="1219" spans="4:5" s="238" customFormat="1" ht="14.25" x14ac:dyDescent="0.2">
      <c r="D1219" s="257"/>
      <c r="E1219" s="257"/>
    </row>
    <row r="1220" spans="4:5" s="238" customFormat="1" ht="14.25" x14ac:dyDescent="0.2">
      <c r="D1220" s="257"/>
      <c r="E1220" s="257"/>
    </row>
    <row r="1221" spans="4:5" s="238" customFormat="1" ht="14.25" x14ac:dyDescent="0.2">
      <c r="D1221" s="257"/>
      <c r="E1221" s="257"/>
    </row>
    <row r="1222" spans="4:5" s="238" customFormat="1" ht="14.25" x14ac:dyDescent="0.2">
      <c r="D1222" s="257"/>
      <c r="E1222" s="257"/>
    </row>
    <row r="1223" spans="4:5" s="238" customFormat="1" ht="14.25" x14ac:dyDescent="0.2">
      <c r="D1223" s="257"/>
      <c r="E1223" s="257"/>
    </row>
    <row r="1224" spans="4:5" s="238" customFormat="1" ht="14.25" x14ac:dyDescent="0.2">
      <c r="D1224" s="257"/>
      <c r="E1224" s="257"/>
    </row>
    <row r="1225" spans="4:5" s="238" customFormat="1" ht="14.25" x14ac:dyDescent="0.2">
      <c r="D1225" s="257"/>
      <c r="E1225" s="257"/>
    </row>
    <row r="1226" spans="4:5" s="238" customFormat="1" ht="14.25" x14ac:dyDescent="0.2">
      <c r="D1226" s="257"/>
      <c r="E1226" s="257"/>
    </row>
    <row r="1227" spans="4:5" s="238" customFormat="1" ht="14.25" x14ac:dyDescent="0.2">
      <c r="D1227" s="257"/>
      <c r="E1227" s="257"/>
    </row>
    <row r="1228" spans="4:5" s="238" customFormat="1" ht="14.25" x14ac:dyDescent="0.2">
      <c r="D1228" s="257"/>
      <c r="E1228" s="257"/>
    </row>
    <row r="1229" spans="4:5" s="238" customFormat="1" ht="14.25" x14ac:dyDescent="0.2">
      <c r="D1229" s="257"/>
      <c r="E1229" s="257"/>
    </row>
    <row r="1230" spans="4:5" s="238" customFormat="1" ht="14.25" x14ac:dyDescent="0.2">
      <c r="D1230" s="257"/>
      <c r="E1230" s="257"/>
    </row>
    <row r="1231" spans="4:5" s="238" customFormat="1" ht="14.25" x14ac:dyDescent="0.2">
      <c r="D1231" s="257"/>
      <c r="E1231" s="257"/>
    </row>
    <row r="1232" spans="4:5" s="238" customFormat="1" ht="14.25" x14ac:dyDescent="0.2">
      <c r="D1232" s="257"/>
      <c r="E1232" s="257"/>
    </row>
    <row r="1233" spans="4:5" s="238" customFormat="1" ht="14.25" x14ac:dyDescent="0.2">
      <c r="D1233" s="257"/>
      <c r="E1233" s="257"/>
    </row>
    <row r="1234" spans="4:5" s="238" customFormat="1" ht="14.25" x14ac:dyDescent="0.2">
      <c r="D1234" s="257"/>
      <c r="E1234" s="257"/>
    </row>
    <row r="1235" spans="4:5" s="238" customFormat="1" ht="14.25" x14ac:dyDescent="0.2">
      <c r="D1235" s="257"/>
      <c r="E1235" s="257"/>
    </row>
    <row r="1236" spans="4:5" s="238" customFormat="1" ht="14.25" x14ac:dyDescent="0.2">
      <c r="D1236" s="257"/>
      <c r="E1236" s="257"/>
    </row>
    <row r="1237" spans="4:5" s="238" customFormat="1" ht="14.25" x14ac:dyDescent="0.2">
      <c r="D1237" s="257"/>
      <c r="E1237" s="257"/>
    </row>
    <row r="1238" spans="4:5" s="238" customFormat="1" ht="14.25" x14ac:dyDescent="0.2">
      <c r="D1238" s="257"/>
      <c r="E1238" s="257"/>
    </row>
    <row r="1239" spans="4:5" s="238" customFormat="1" ht="14.25" x14ac:dyDescent="0.2">
      <c r="D1239" s="257"/>
      <c r="E1239" s="257"/>
    </row>
    <row r="1240" spans="4:5" s="238" customFormat="1" ht="14.25" x14ac:dyDescent="0.2">
      <c r="D1240" s="257"/>
      <c r="E1240" s="257"/>
    </row>
    <row r="1241" spans="4:5" s="238" customFormat="1" ht="14.25" x14ac:dyDescent="0.2">
      <c r="D1241" s="257"/>
      <c r="E1241" s="257"/>
    </row>
    <row r="1242" spans="4:5" s="238" customFormat="1" ht="14.25" x14ac:dyDescent="0.2">
      <c r="D1242" s="257"/>
      <c r="E1242" s="257"/>
    </row>
    <row r="1243" spans="4:5" s="238" customFormat="1" ht="14.25" x14ac:dyDescent="0.2">
      <c r="D1243" s="257"/>
      <c r="E1243" s="257"/>
    </row>
    <row r="1244" spans="4:5" s="238" customFormat="1" ht="14.25" x14ac:dyDescent="0.2">
      <c r="D1244" s="257"/>
      <c r="E1244" s="257"/>
    </row>
    <row r="1245" spans="4:5" s="238" customFormat="1" ht="14.25" x14ac:dyDescent="0.2">
      <c r="D1245" s="257"/>
      <c r="E1245" s="257"/>
    </row>
    <row r="1246" spans="4:5" s="238" customFormat="1" ht="14.25" x14ac:dyDescent="0.2">
      <c r="D1246" s="257"/>
      <c r="E1246" s="257"/>
    </row>
    <row r="1247" spans="4:5" s="238" customFormat="1" ht="14.25" x14ac:dyDescent="0.2">
      <c r="D1247" s="257"/>
      <c r="E1247" s="257"/>
    </row>
    <row r="1248" spans="4:5" s="238" customFormat="1" ht="14.25" x14ac:dyDescent="0.2">
      <c r="D1248" s="257"/>
      <c r="E1248" s="257"/>
    </row>
    <row r="1249" spans="4:5" s="238" customFormat="1" ht="14.25" x14ac:dyDescent="0.2">
      <c r="D1249" s="257"/>
      <c r="E1249" s="257"/>
    </row>
    <row r="1250" spans="4:5" s="238" customFormat="1" ht="14.25" x14ac:dyDescent="0.2">
      <c r="D1250" s="257"/>
      <c r="E1250" s="257"/>
    </row>
    <row r="1251" spans="4:5" s="238" customFormat="1" ht="14.25" x14ac:dyDescent="0.2">
      <c r="D1251" s="257"/>
      <c r="E1251" s="257"/>
    </row>
    <row r="1252" spans="4:5" s="238" customFormat="1" ht="14.25" x14ac:dyDescent="0.2">
      <c r="D1252" s="257"/>
      <c r="E1252" s="257"/>
    </row>
    <row r="1253" spans="4:5" s="238" customFormat="1" ht="14.25" x14ac:dyDescent="0.2">
      <c r="D1253" s="257"/>
      <c r="E1253" s="257"/>
    </row>
    <row r="1254" spans="4:5" s="238" customFormat="1" ht="14.25" x14ac:dyDescent="0.2">
      <c r="D1254" s="257"/>
      <c r="E1254" s="257"/>
    </row>
    <row r="1255" spans="4:5" s="238" customFormat="1" ht="14.25" x14ac:dyDescent="0.2">
      <c r="D1255" s="257"/>
      <c r="E1255" s="257"/>
    </row>
    <row r="1256" spans="4:5" s="238" customFormat="1" ht="14.25" x14ac:dyDescent="0.2">
      <c r="D1256" s="257"/>
      <c r="E1256" s="257"/>
    </row>
    <row r="1257" spans="4:5" s="238" customFormat="1" ht="14.25" x14ac:dyDescent="0.2">
      <c r="D1257" s="257"/>
      <c r="E1257" s="257"/>
    </row>
    <row r="1258" spans="4:5" s="238" customFormat="1" ht="14.25" x14ac:dyDescent="0.2">
      <c r="D1258" s="257"/>
      <c r="E1258" s="257"/>
    </row>
    <row r="1259" spans="4:5" s="238" customFormat="1" ht="14.25" x14ac:dyDescent="0.2">
      <c r="D1259" s="257"/>
      <c r="E1259" s="257"/>
    </row>
    <row r="1260" spans="4:5" s="238" customFormat="1" ht="14.25" x14ac:dyDescent="0.2">
      <c r="D1260" s="257"/>
      <c r="E1260" s="257"/>
    </row>
    <row r="1261" spans="4:5" s="238" customFormat="1" ht="14.25" x14ac:dyDescent="0.2">
      <c r="D1261" s="257"/>
      <c r="E1261" s="257"/>
    </row>
    <row r="1262" spans="4:5" s="238" customFormat="1" ht="14.25" x14ac:dyDescent="0.2">
      <c r="D1262" s="257"/>
      <c r="E1262" s="257"/>
    </row>
    <row r="1263" spans="4:5" s="238" customFormat="1" ht="14.25" x14ac:dyDescent="0.2">
      <c r="D1263" s="257"/>
      <c r="E1263" s="257"/>
    </row>
    <row r="1264" spans="4:5" s="238" customFormat="1" ht="14.25" x14ac:dyDescent="0.2">
      <c r="D1264" s="257"/>
      <c r="E1264" s="257"/>
    </row>
    <row r="1265" spans="4:5" s="238" customFormat="1" ht="14.25" x14ac:dyDescent="0.2">
      <c r="D1265" s="257"/>
      <c r="E1265" s="257"/>
    </row>
    <row r="1266" spans="4:5" s="238" customFormat="1" ht="14.25" x14ac:dyDescent="0.2">
      <c r="D1266" s="257"/>
      <c r="E1266" s="257"/>
    </row>
    <row r="1267" spans="4:5" s="238" customFormat="1" ht="14.25" x14ac:dyDescent="0.2">
      <c r="D1267" s="257"/>
      <c r="E1267" s="257"/>
    </row>
    <row r="1268" spans="4:5" s="238" customFormat="1" ht="14.25" x14ac:dyDescent="0.2">
      <c r="D1268" s="257"/>
      <c r="E1268" s="257"/>
    </row>
    <row r="1269" spans="4:5" s="238" customFormat="1" ht="14.25" x14ac:dyDescent="0.2">
      <c r="D1269" s="257"/>
      <c r="E1269" s="257"/>
    </row>
    <row r="1270" spans="4:5" s="238" customFormat="1" ht="14.25" x14ac:dyDescent="0.2">
      <c r="D1270" s="257"/>
      <c r="E1270" s="257"/>
    </row>
    <row r="1271" spans="4:5" s="238" customFormat="1" ht="14.25" x14ac:dyDescent="0.2">
      <c r="D1271" s="257"/>
      <c r="E1271" s="257"/>
    </row>
    <row r="1272" spans="4:5" s="238" customFormat="1" ht="14.25" x14ac:dyDescent="0.2">
      <c r="D1272" s="257"/>
      <c r="E1272" s="257"/>
    </row>
    <row r="1273" spans="4:5" s="238" customFormat="1" ht="14.25" x14ac:dyDescent="0.2">
      <c r="D1273" s="257"/>
      <c r="E1273" s="257"/>
    </row>
    <row r="1274" spans="4:5" s="238" customFormat="1" ht="14.25" x14ac:dyDescent="0.2">
      <c r="D1274" s="257"/>
      <c r="E1274" s="257"/>
    </row>
    <row r="1275" spans="4:5" s="238" customFormat="1" ht="14.25" x14ac:dyDescent="0.2">
      <c r="D1275" s="257"/>
      <c r="E1275" s="257"/>
    </row>
    <row r="1276" spans="4:5" s="238" customFormat="1" ht="14.25" x14ac:dyDescent="0.2">
      <c r="D1276" s="257"/>
      <c r="E1276" s="257"/>
    </row>
    <row r="1277" spans="4:5" s="238" customFormat="1" ht="14.25" x14ac:dyDescent="0.2">
      <c r="D1277" s="257"/>
      <c r="E1277" s="257"/>
    </row>
    <row r="1278" spans="4:5" s="238" customFormat="1" ht="14.25" x14ac:dyDescent="0.2">
      <c r="D1278" s="257"/>
      <c r="E1278" s="257"/>
    </row>
    <row r="1279" spans="4:5" s="238" customFormat="1" ht="14.25" x14ac:dyDescent="0.2">
      <c r="D1279" s="257"/>
      <c r="E1279" s="257"/>
    </row>
    <row r="1280" spans="4:5" s="238" customFormat="1" ht="14.25" x14ac:dyDescent="0.2">
      <c r="D1280" s="257"/>
      <c r="E1280" s="257"/>
    </row>
    <row r="1281" spans="4:5" s="238" customFormat="1" ht="14.25" x14ac:dyDescent="0.2">
      <c r="D1281" s="257"/>
      <c r="E1281" s="257"/>
    </row>
    <row r="1282" spans="4:5" s="238" customFormat="1" ht="14.25" x14ac:dyDescent="0.2">
      <c r="D1282" s="257"/>
      <c r="E1282" s="257"/>
    </row>
    <row r="1283" spans="4:5" s="238" customFormat="1" ht="14.25" x14ac:dyDescent="0.2">
      <c r="D1283" s="257"/>
      <c r="E1283" s="257"/>
    </row>
    <row r="1284" spans="4:5" s="238" customFormat="1" ht="14.25" x14ac:dyDescent="0.2">
      <c r="D1284" s="257"/>
      <c r="E1284" s="257"/>
    </row>
    <row r="1285" spans="4:5" s="238" customFormat="1" ht="14.25" x14ac:dyDescent="0.2">
      <c r="D1285" s="257"/>
      <c r="E1285" s="257"/>
    </row>
    <row r="1286" spans="4:5" s="238" customFormat="1" ht="14.25" x14ac:dyDescent="0.2">
      <c r="D1286" s="257"/>
      <c r="E1286" s="257"/>
    </row>
    <row r="1287" spans="4:5" s="238" customFormat="1" ht="14.25" x14ac:dyDescent="0.2">
      <c r="D1287" s="257"/>
      <c r="E1287" s="257"/>
    </row>
    <row r="1288" spans="4:5" s="238" customFormat="1" ht="14.25" x14ac:dyDescent="0.2">
      <c r="D1288" s="257"/>
      <c r="E1288" s="257"/>
    </row>
    <row r="1289" spans="4:5" s="238" customFormat="1" ht="14.25" x14ac:dyDescent="0.2">
      <c r="D1289" s="257"/>
      <c r="E1289" s="257"/>
    </row>
    <row r="1290" spans="4:5" s="238" customFormat="1" ht="14.25" x14ac:dyDescent="0.2">
      <c r="D1290" s="257"/>
      <c r="E1290" s="257"/>
    </row>
    <row r="1291" spans="4:5" s="238" customFormat="1" ht="14.25" x14ac:dyDescent="0.2">
      <c r="D1291" s="257"/>
      <c r="E1291" s="257"/>
    </row>
    <row r="1292" spans="4:5" s="238" customFormat="1" ht="14.25" x14ac:dyDescent="0.2">
      <c r="D1292" s="257"/>
      <c r="E1292" s="257"/>
    </row>
    <row r="1293" spans="4:5" s="238" customFormat="1" ht="14.25" x14ac:dyDescent="0.2">
      <c r="D1293" s="257"/>
      <c r="E1293" s="257"/>
    </row>
    <row r="1294" spans="4:5" s="238" customFormat="1" ht="14.25" x14ac:dyDescent="0.2">
      <c r="D1294" s="257"/>
      <c r="E1294" s="257"/>
    </row>
    <row r="1295" spans="4:5" s="238" customFormat="1" ht="14.25" x14ac:dyDescent="0.2">
      <c r="D1295" s="257"/>
      <c r="E1295" s="257"/>
    </row>
    <row r="1296" spans="4:5" s="238" customFormat="1" ht="14.25" x14ac:dyDescent="0.2">
      <c r="D1296" s="257"/>
      <c r="E1296" s="257"/>
    </row>
    <row r="1297" spans="4:5" s="238" customFormat="1" ht="14.25" x14ac:dyDescent="0.2">
      <c r="D1297" s="257"/>
      <c r="E1297" s="257"/>
    </row>
    <row r="1298" spans="4:5" s="238" customFormat="1" ht="14.25" x14ac:dyDescent="0.2">
      <c r="D1298" s="257"/>
      <c r="E1298" s="257"/>
    </row>
    <row r="1299" spans="4:5" s="238" customFormat="1" ht="14.25" x14ac:dyDescent="0.2">
      <c r="D1299" s="257"/>
      <c r="E1299" s="257"/>
    </row>
    <row r="1300" spans="4:5" s="238" customFormat="1" ht="14.25" x14ac:dyDescent="0.2">
      <c r="D1300" s="257"/>
      <c r="E1300" s="257"/>
    </row>
    <row r="1301" spans="4:5" s="238" customFormat="1" ht="14.25" x14ac:dyDescent="0.2">
      <c r="D1301" s="257"/>
      <c r="E1301" s="257"/>
    </row>
    <row r="1302" spans="4:5" s="238" customFormat="1" ht="14.25" x14ac:dyDescent="0.2">
      <c r="D1302" s="257"/>
      <c r="E1302" s="257"/>
    </row>
    <row r="1303" spans="4:5" s="238" customFormat="1" ht="14.25" x14ac:dyDescent="0.2">
      <c r="D1303" s="257"/>
      <c r="E1303" s="257"/>
    </row>
    <row r="1304" spans="4:5" s="238" customFormat="1" ht="14.25" x14ac:dyDescent="0.2">
      <c r="D1304" s="257"/>
      <c r="E1304" s="257"/>
    </row>
    <row r="1305" spans="4:5" s="238" customFormat="1" ht="14.25" x14ac:dyDescent="0.2">
      <c r="D1305" s="257"/>
      <c r="E1305" s="257"/>
    </row>
    <row r="1306" spans="4:5" s="238" customFormat="1" ht="14.25" x14ac:dyDescent="0.2">
      <c r="D1306" s="257"/>
      <c r="E1306" s="257"/>
    </row>
    <row r="1307" spans="4:5" s="238" customFormat="1" ht="14.25" x14ac:dyDescent="0.2">
      <c r="D1307" s="257"/>
      <c r="E1307" s="257"/>
    </row>
    <row r="1308" spans="4:5" s="238" customFormat="1" ht="14.25" x14ac:dyDescent="0.2">
      <c r="D1308" s="257"/>
      <c r="E1308" s="257"/>
    </row>
    <row r="1309" spans="4:5" s="238" customFormat="1" ht="14.25" x14ac:dyDescent="0.2">
      <c r="D1309" s="257"/>
      <c r="E1309" s="257"/>
    </row>
    <row r="1310" spans="4:5" s="238" customFormat="1" ht="14.25" x14ac:dyDescent="0.2">
      <c r="D1310" s="257"/>
      <c r="E1310" s="257"/>
    </row>
    <row r="1311" spans="4:5" s="238" customFormat="1" ht="14.25" x14ac:dyDescent="0.2">
      <c r="D1311" s="257"/>
      <c r="E1311" s="257"/>
    </row>
    <row r="1312" spans="4:5" s="238" customFormat="1" ht="14.25" x14ac:dyDescent="0.2">
      <c r="D1312" s="257"/>
      <c r="E1312" s="257"/>
    </row>
    <row r="1313" spans="4:5" s="238" customFormat="1" ht="14.25" x14ac:dyDescent="0.2">
      <c r="D1313" s="257"/>
      <c r="E1313" s="257"/>
    </row>
    <row r="1314" spans="4:5" s="238" customFormat="1" ht="14.25" x14ac:dyDescent="0.2">
      <c r="D1314" s="257"/>
      <c r="E1314" s="257"/>
    </row>
    <row r="1315" spans="4:5" s="238" customFormat="1" ht="14.25" x14ac:dyDescent="0.2">
      <c r="D1315" s="257"/>
      <c r="E1315" s="257"/>
    </row>
    <row r="1316" spans="4:5" s="238" customFormat="1" ht="14.25" x14ac:dyDescent="0.2">
      <c r="D1316" s="257"/>
      <c r="E1316" s="257"/>
    </row>
    <row r="1317" spans="4:5" s="238" customFormat="1" ht="14.25" x14ac:dyDescent="0.2">
      <c r="D1317" s="257"/>
      <c r="E1317" s="257"/>
    </row>
    <row r="1318" spans="4:5" s="238" customFormat="1" ht="14.25" x14ac:dyDescent="0.2">
      <c r="D1318" s="257"/>
      <c r="E1318" s="257"/>
    </row>
    <row r="1319" spans="4:5" s="238" customFormat="1" ht="14.25" x14ac:dyDescent="0.2">
      <c r="D1319" s="257"/>
      <c r="E1319" s="257"/>
    </row>
    <row r="1320" spans="4:5" s="238" customFormat="1" ht="14.25" x14ac:dyDescent="0.2">
      <c r="D1320" s="257"/>
      <c r="E1320" s="257"/>
    </row>
    <row r="1321" spans="4:5" s="238" customFormat="1" ht="14.25" x14ac:dyDescent="0.2">
      <c r="D1321" s="257"/>
      <c r="E1321" s="257"/>
    </row>
    <row r="1322" spans="4:5" s="238" customFormat="1" ht="14.25" x14ac:dyDescent="0.2">
      <c r="D1322" s="257"/>
      <c r="E1322" s="257"/>
    </row>
    <row r="1323" spans="4:5" s="238" customFormat="1" ht="14.25" x14ac:dyDescent="0.2">
      <c r="D1323" s="257"/>
      <c r="E1323" s="257"/>
    </row>
    <row r="1324" spans="4:5" s="238" customFormat="1" ht="14.25" x14ac:dyDescent="0.2">
      <c r="D1324" s="257"/>
      <c r="E1324" s="257"/>
    </row>
    <row r="1325" spans="4:5" s="238" customFormat="1" ht="14.25" x14ac:dyDescent="0.2">
      <c r="D1325" s="257"/>
      <c r="E1325" s="257"/>
    </row>
    <row r="1326" spans="4:5" s="238" customFormat="1" ht="14.25" x14ac:dyDescent="0.2">
      <c r="D1326" s="257"/>
      <c r="E1326" s="257"/>
    </row>
    <row r="1327" spans="4:5" s="238" customFormat="1" ht="14.25" x14ac:dyDescent="0.2">
      <c r="D1327" s="257"/>
      <c r="E1327" s="257"/>
    </row>
    <row r="1328" spans="4:5" s="238" customFormat="1" ht="14.25" x14ac:dyDescent="0.2">
      <c r="D1328" s="257"/>
      <c r="E1328" s="257"/>
    </row>
    <row r="1329" spans="4:5" s="238" customFormat="1" ht="14.25" x14ac:dyDescent="0.2">
      <c r="D1329" s="257"/>
      <c r="E1329" s="257"/>
    </row>
    <row r="1330" spans="4:5" s="238" customFormat="1" ht="14.25" x14ac:dyDescent="0.2">
      <c r="D1330" s="257"/>
      <c r="E1330" s="257"/>
    </row>
    <row r="1331" spans="4:5" s="238" customFormat="1" ht="14.25" x14ac:dyDescent="0.2">
      <c r="D1331" s="257"/>
      <c r="E1331" s="257"/>
    </row>
    <row r="1332" spans="4:5" s="238" customFormat="1" ht="14.25" x14ac:dyDescent="0.2">
      <c r="D1332" s="257"/>
      <c r="E1332" s="257"/>
    </row>
    <row r="1333" spans="4:5" s="238" customFormat="1" ht="14.25" x14ac:dyDescent="0.2">
      <c r="D1333" s="257"/>
      <c r="E1333" s="257"/>
    </row>
    <row r="1334" spans="4:5" s="238" customFormat="1" ht="14.25" x14ac:dyDescent="0.2">
      <c r="D1334" s="257"/>
      <c r="E1334" s="257"/>
    </row>
    <row r="1335" spans="4:5" s="238" customFormat="1" ht="14.25" x14ac:dyDescent="0.2">
      <c r="D1335" s="257"/>
      <c r="E1335" s="257"/>
    </row>
    <row r="1336" spans="4:5" s="238" customFormat="1" ht="14.25" x14ac:dyDescent="0.2">
      <c r="D1336" s="257"/>
      <c r="E1336" s="257"/>
    </row>
    <row r="1337" spans="4:5" s="238" customFormat="1" ht="14.25" x14ac:dyDescent="0.2">
      <c r="D1337" s="257"/>
      <c r="E1337" s="257"/>
    </row>
    <row r="1338" spans="4:5" s="238" customFormat="1" ht="14.25" x14ac:dyDescent="0.2">
      <c r="D1338" s="257"/>
      <c r="E1338" s="257"/>
    </row>
    <row r="1339" spans="4:5" s="238" customFormat="1" ht="14.25" x14ac:dyDescent="0.2">
      <c r="D1339" s="257"/>
      <c r="E1339" s="257"/>
    </row>
    <row r="1340" spans="4:5" s="238" customFormat="1" ht="14.25" x14ac:dyDescent="0.2">
      <c r="D1340" s="257"/>
      <c r="E1340" s="257"/>
    </row>
    <row r="1341" spans="4:5" s="238" customFormat="1" ht="14.25" x14ac:dyDescent="0.2">
      <c r="D1341" s="257"/>
      <c r="E1341" s="257"/>
    </row>
    <row r="1342" spans="4:5" s="238" customFormat="1" ht="14.25" x14ac:dyDescent="0.2">
      <c r="D1342" s="257"/>
      <c r="E1342" s="257"/>
    </row>
    <row r="1343" spans="4:5" s="238" customFormat="1" ht="14.25" x14ac:dyDescent="0.2">
      <c r="D1343" s="257"/>
      <c r="E1343" s="257"/>
    </row>
    <row r="1344" spans="4:5" s="238" customFormat="1" ht="14.25" x14ac:dyDescent="0.2">
      <c r="D1344" s="257"/>
      <c r="E1344" s="257"/>
    </row>
    <row r="1345" spans="4:5" s="238" customFormat="1" ht="14.25" x14ac:dyDescent="0.2">
      <c r="D1345" s="257"/>
      <c r="E1345" s="257"/>
    </row>
    <row r="1346" spans="4:5" s="238" customFormat="1" ht="14.25" x14ac:dyDescent="0.2">
      <c r="D1346" s="257"/>
      <c r="E1346" s="257"/>
    </row>
    <row r="1347" spans="4:5" s="238" customFormat="1" ht="14.25" x14ac:dyDescent="0.2">
      <c r="D1347" s="257"/>
      <c r="E1347" s="257"/>
    </row>
    <row r="1348" spans="4:5" s="238" customFormat="1" ht="14.25" x14ac:dyDescent="0.2">
      <c r="D1348" s="257"/>
      <c r="E1348" s="257"/>
    </row>
    <row r="1349" spans="4:5" s="238" customFormat="1" ht="14.25" x14ac:dyDescent="0.2">
      <c r="D1349" s="257"/>
      <c r="E1349" s="257"/>
    </row>
    <row r="1350" spans="4:5" s="238" customFormat="1" ht="14.25" x14ac:dyDescent="0.2">
      <c r="D1350" s="257"/>
      <c r="E1350" s="257"/>
    </row>
    <row r="1351" spans="4:5" s="238" customFormat="1" ht="14.25" x14ac:dyDescent="0.2">
      <c r="D1351" s="257"/>
      <c r="E1351" s="257"/>
    </row>
    <row r="1352" spans="4:5" s="238" customFormat="1" ht="14.25" x14ac:dyDescent="0.2">
      <c r="D1352" s="257"/>
      <c r="E1352" s="257"/>
    </row>
    <row r="1353" spans="4:5" s="238" customFormat="1" ht="14.25" x14ac:dyDescent="0.2">
      <c r="D1353" s="257"/>
      <c r="E1353" s="257"/>
    </row>
    <row r="1354" spans="4:5" s="238" customFormat="1" ht="14.25" x14ac:dyDescent="0.2">
      <c r="D1354" s="257"/>
      <c r="E1354" s="257"/>
    </row>
    <row r="1355" spans="4:5" s="238" customFormat="1" ht="14.25" x14ac:dyDescent="0.2">
      <c r="D1355" s="257"/>
      <c r="E1355" s="257"/>
    </row>
    <row r="1356" spans="4:5" s="238" customFormat="1" ht="14.25" x14ac:dyDescent="0.2">
      <c r="D1356" s="257"/>
      <c r="E1356" s="257"/>
    </row>
    <row r="1357" spans="4:5" s="238" customFormat="1" ht="14.25" x14ac:dyDescent="0.2">
      <c r="D1357" s="257"/>
      <c r="E1357" s="257"/>
    </row>
    <row r="1358" spans="4:5" s="238" customFormat="1" ht="14.25" x14ac:dyDescent="0.2">
      <c r="D1358" s="257"/>
      <c r="E1358" s="257"/>
    </row>
    <row r="1359" spans="4:5" s="238" customFormat="1" ht="14.25" x14ac:dyDescent="0.2">
      <c r="D1359" s="257"/>
      <c r="E1359" s="257"/>
    </row>
    <row r="1360" spans="4:5" s="238" customFormat="1" ht="14.25" x14ac:dyDescent="0.2">
      <c r="D1360" s="257"/>
      <c r="E1360" s="257"/>
    </row>
    <row r="1361" spans="4:5" s="238" customFormat="1" ht="14.25" x14ac:dyDescent="0.2">
      <c r="D1361" s="257"/>
      <c r="E1361" s="257"/>
    </row>
    <row r="1362" spans="4:5" s="238" customFormat="1" ht="14.25" x14ac:dyDescent="0.2">
      <c r="D1362" s="257"/>
      <c r="E1362" s="257"/>
    </row>
    <row r="1363" spans="4:5" s="238" customFormat="1" ht="14.25" x14ac:dyDescent="0.2">
      <c r="D1363" s="257"/>
      <c r="E1363" s="257"/>
    </row>
    <row r="1364" spans="4:5" s="238" customFormat="1" ht="14.25" x14ac:dyDescent="0.2">
      <c r="D1364" s="257"/>
      <c r="E1364" s="257"/>
    </row>
    <row r="1365" spans="4:5" s="238" customFormat="1" ht="14.25" x14ac:dyDescent="0.2">
      <c r="D1365" s="257"/>
      <c r="E1365" s="257"/>
    </row>
    <row r="1366" spans="4:5" s="238" customFormat="1" ht="14.25" x14ac:dyDescent="0.2">
      <c r="D1366" s="257"/>
      <c r="E1366" s="257"/>
    </row>
    <row r="1367" spans="4:5" s="238" customFormat="1" ht="14.25" x14ac:dyDescent="0.2">
      <c r="D1367" s="257"/>
      <c r="E1367" s="257"/>
    </row>
    <row r="1368" spans="4:5" s="238" customFormat="1" ht="14.25" x14ac:dyDescent="0.2">
      <c r="D1368" s="257"/>
      <c r="E1368" s="257"/>
    </row>
    <row r="1369" spans="4:5" s="238" customFormat="1" ht="14.25" x14ac:dyDescent="0.2">
      <c r="D1369" s="257"/>
      <c r="E1369" s="257"/>
    </row>
    <row r="1370" spans="4:5" s="238" customFormat="1" ht="14.25" x14ac:dyDescent="0.2">
      <c r="D1370" s="257"/>
      <c r="E1370" s="257"/>
    </row>
    <row r="1371" spans="4:5" s="238" customFormat="1" ht="14.25" x14ac:dyDescent="0.2">
      <c r="D1371" s="257"/>
      <c r="E1371" s="257"/>
    </row>
    <row r="1372" spans="4:5" s="238" customFormat="1" ht="14.25" x14ac:dyDescent="0.2">
      <c r="D1372" s="257"/>
      <c r="E1372" s="257"/>
    </row>
    <row r="1373" spans="4:5" s="238" customFormat="1" ht="14.25" x14ac:dyDescent="0.2">
      <c r="D1373" s="257"/>
      <c r="E1373" s="257"/>
    </row>
    <row r="1374" spans="4:5" s="238" customFormat="1" ht="14.25" x14ac:dyDescent="0.2">
      <c r="D1374" s="257"/>
      <c r="E1374" s="257"/>
    </row>
    <row r="1375" spans="4:5" s="238" customFormat="1" ht="14.25" x14ac:dyDescent="0.2">
      <c r="D1375" s="257"/>
      <c r="E1375" s="257"/>
    </row>
    <row r="1376" spans="4:5" s="238" customFormat="1" ht="14.25" x14ac:dyDescent="0.2">
      <c r="D1376" s="257"/>
      <c r="E1376" s="257"/>
    </row>
    <row r="1377" spans="4:5" s="238" customFormat="1" ht="14.25" x14ac:dyDescent="0.2">
      <c r="D1377" s="257"/>
      <c r="E1377" s="257"/>
    </row>
    <row r="1378" spans="4:5" s="238" customFormat="1" ht="14.25" x14ac:dyDescent="0.2">
      <c r="D1378" s="257"/>
      <c r="E1378" s="257"/>
    </row>
    <row r="1379" spans="4:5" s="238" customFormat="1" ht="14.25" x14ac:dyDescent="0.2">
      <c r="D1379" s="257"/>
      <c r="E1379" s="257"/>
    </row>
    <row r="1380" spans="4:5" s="238" customFormat="1" ht="14.25" x14ac:dyDescent="0.2">
      <c r="D1380" s="257"/>
      <c r="E1380" s="257"/>
    </row>
    <row r="1381" spans="4:5" s="238" customFormat="1" ht="14.25" x14ac:dyDescent="0.2">
      <c r="D1381" s="257"/>
      <c r="E1381" s="257"/>
    </row>
    <row r="1382" spans="4:5" s="238" customFormat="1" ht="14.25" x14ac:dyDescent="0.2">
      <c r="D1382" s="257"/>
      <c r="E1382" s="257"/>
    </row>
    <row r="1383" spans="4:5" s="238" customFormat="1" ht="14.25" x14ac:dyDescent="0.2">
      <c r="D1383" s="257"/>
      <c r="E1383" s="257"/>
    </row>
    <row r="1384" spans="4:5" s="238" customFormat="1" ht="14.25" x14ac:dyDescent="0.2">
      <c r="D1384" s="257"/>
      <c r="E1384" s="257"/>
    </row>
    <row r="1385" spans="4:5" s="238" customFormat="1" ht="14.25" x14ac:dyDescent="0.2">
      <c r="D1385" s="257"/>
      <c r="E1385" s="257"/>
    </row>
    <row r="1386" spans="4:5" s="238" customFormat="1" ht="14.25" x14ac:dyDescent="0.2">
      <c r="D1386" s="257"/>
      <c r="E1386" s="257"/>
    </row>
    <row r="1387" spans="4:5" s="238" customFormat="1" ht="14.25" x14ac:dyDescent="0.2">
      <c r="D1387" s="257"/>
      <c r="E1387" s="257"/>
    </row>
    <row r="1388" spans="4:5" s="238" customFormat="1" ht="14.25" x14ac:dyDescent="0.2">
      <c r="D1388" s="257"/>
      <c r="E1388" s="257"/>
    </row>
    <row r="1389" spans="4:5" s="238" customFormat="1" ht="14.25" x14ac:dyDescent="0.2">
      <c r="D1389" s="257"/>
      <c r="E1389" s="257"/>
    </row>
    <row r="1390" spans="4:5" s="238" customFormat="1" ht="14.25" x14ac:dyDescent="0.2">
      <c r="D1390" s="257"/>
      <c r="E1390" s="257"/>
    </row>
    <row r="1391" spans="4:5" s="238" customFormat="1" ht="14.25" x14ac:dyDescent="0.2">
      <c r="D1391" s="257"/>
      <c r="E1391" s="257"/>
    </row>
    <row r="1392" spans="4:5" s="238" customFormat="1" ht="14.25" x14ac:dyDescent="0.2">
      <c r="D1392" s="257"/>
      <c r="E1392" s="257"/>
    </row>
    <row r="1393" spans="4:5" s="238" customFormat="1" ht="14.25" x14ac:dyDescent="0.2">
      <c r="D1393" s="257"/>
      <c r="E1393" s="257"/>
    </row>
    <row r="1394" spans="4:5" s="238" customFormat="1" ht="14.25" x14ac:dyDescent="0.2">
      <c r="D1394" s="257"/>
      <c r="E1394" s="257"/>
    </row>
    <row r="1395" spans="4:5" s="238" customFormat="1" ht="14.25" x14ac:dyDescent="0.2">
      <c r="D1395" s="257"/>
      <c r="E1395" s="257"/>
    </row>
    <row r="1396" spans="4:5" s="238" customFormat="1" ht="14.25" x14ac:dyDescent="0.2">
      <c r="D1396" s="257"/>
      <c r="E1396" s="257"/>
    </row>
    <row r="1397" spans="4:5" s="238" customFormat="1" ht="14.25" x14ac:dyDescent="0.2">
      <c r="D1397" s="257"/>
      <c r="E1397" s="257"/>
    </row>
    <row r="1398" spans="4:5" s="238" customFormat="1" ht="14.25" x14ac:dyDescent="0.2">
      <c r="D1398" s="257"/>
      <c r="E1398" s="257"/>
    </row>
    <row r="1399" spans="4:5" s="238" customFormat="1" ht="14.25" x14ac:dyDescent="0.2">
      <c r="D1399" s="257"/>
      <c r="E1399" s="257"/>
    </row>
    <row r="1400" spans="4:5" s="238" customFormat="1" ht="14.25" x14ac:dyDescent="0.2">
      <c r="D1400" s="257"/>
      <c r="E1400" s="257"/>
    </row>
    <row r="1401" spans="4:5" s="238" customFormat="1" ht="14.25" x14ac:dyDescent="0.2">
      <c r="D1401" s="257"/>
      <c r="E1401" s="257"/>
    </row>
    <row r="1402" spans="4:5" s="238" customFormat="1" ht="14.25" x14ac:dyDescent="0.2">
      <c r="D1402" s="257"/>
      <c r="E1402" s="257"/>
    </row>
    <row r="1403" spans="4:5" s="238" customFormat="1" ht="14.25" x14ac:dyDescent="0.2">
      <c r="D1403" s="257"/>
      <c r="E1403" s="257"/>
    </row>
    <row r="1404" spans="4:5" s="238" customFormat="1" ht="14.25" x14ac:dyDescent="0.2">
      <c r="D1404" s="257"/>
      <c r="E1404" s="257"/>
    </row>
    <row r="1405" spans="4:5" s="238" customFormat="1" ht="14.25" x14ac:dyDescent="0.2">
      <c r="D1405" s="257"/>
      <c r="E1405" s="257"/>
    </row>
    <row r="1406" spans="4:5" s="238" customFormat="1" ht="14.25" x14ac:dyDescent="0.2">
      <c r="D1406" s="257"/>
      <c r="E1406" s="257"/>
    </row>
    <row r="1407" spans="4:5" s="238" customFormat="1" ht="14.25" x14ac:dyDescent="0.2">
      <c r="D1407" s="257"/>
      <c r="E1407" s="257"/>
    </row>
    <row r="1408" spans="4:5" s="238" customFormat="1" ht="14.25" x14ac:dyDescent="0.2">
      <c r="D1408" s="257"/>
      <c r="E1408" s="257"/>
    </row>
    <row r="1409" spans="4:5" s="238" customFormat="1" ht="14.25" x14ac:dyDescent="0.2">
      <c r="D1409" s="257"/>
      <c r="E1409" s="257"/>
    </row>
    <row r="1410" spans="4:5" s="238" customFormat="1" ht="14.25" x14ac:dyDescent="0.2">
      <c r="D1410" s="257"/>
      <c r="E1410" s="257"/>
    </row>
    <row r="1411" spans="4:5" s="238" customFormat="1" ht="14.25" x14ac:dyDescent="0.2">
      <c r="D1411" s="257"/>
      <c r="E1411" s="257"/>
    </row>
    <row r="1412" spans="4:5" s="238" customFormat="1" ht="14.25" x14ac:dyDescent="0.2">
      <c r="D1412" s="257"/>
      <c r="E1412" s="257"/>
    </row>
    <row r="1413" spans="4:5" s="238" customFormat="1" ht="14.25" x14ac:dyDescent="0.2">
      <c r="D1413" s="257"/>
      <c r="E1413" s="257"/>
    </row>
    <row r="1414" spans="4:5" s="238" customFormat="1" ht="14.25" x14ac:dyDescent="0.2">
      <c r="D1414" s="257"/>
      <c r="E1414" s="257"/>
    </row>
    <row r="1415" spans="4:5" s="238" customFormat="1" ht="14.25" x14ac:dyDescent="0.2">
      <c r="D1415" s="257"/>
      <c r="E1415" s="257"/>
    </row>
    <row r="1416" spans="4:5" s="238" customFormat="1" ht="14.25" x14ac:dyDescent="0.2">
      <c r="D1416" s="257"/>
      <c r="E1416" s="257"/>
    </row>
    <row r="1417" spans="4:5" s="238" customFormat="1" ht="14.25" x14ac:dyDescent="0.2">
      <c r="D1417" s="257"/>
      <c r="E1417" s="257"/>
    </row>
    <row r="1418" spans="4:5" s="238" customFormat="1" ht="14.25" x14ac:dyDescent="0.2">
      <c r="D1418" s="257"/>
      <c r="E1418" s="257"/>
    </row>
    <row r="1419" spans="4:5" s="238" customFormat="1" ht="14.25" x14ac:dyDescent="0.2">
      <c r="D1419" s="257"/>
      <c r="E1419" s="257"/>
    </row>
    <row r="1420" spans="4:5" s="238" customFormat="1" ht="14.25" x14ac:dyDescent="0.2">
      <c r="D1420" s="257"/>
      <c r="E1420" s="257"/>
    </row>
    <row r="1421" spans="4:5" s="238" customFormat="1" ht="14.25" x14ac:dyDescent="0.2">
      <c r="D1421" s="257"/>
      <c r="E1421" s="257"/>
    </row>
    <row r="1422" spans="4:5" s="238" customFormat="1" ht="14.25" x14ac:dyDescent="0.2">
      <c r="D1422" s="257"/>
      <c r="E1422" s="257"/>
    </row>
    <row r="1423" spans="4:5" s="238" customFormat="1" ht="14.25" x14ac:dyDescent="0.2">
      <c r="D1423" s="257"/>
      <c r="E1423" s="257"/>
    </row>
    <row r="1424" spans="4:5" s="238" customFormat="1" ht="14.25" x14ac:dyDescent="0.2">
      <c r="D1424" s="257"/>
      <c r="E1424" s="257"/>
    </row>
    <row r="1425" spans="4:5" s="238" customFormat="1" ht="14.25" x14ac:dyDescent="0.2">
      <c r="D1425" s="257"/>
      <c r="E1425" s="257"/>
    </row>
    <row r="1426" spans="4:5" s="238" customFormat="1" ht="14.25" x14ac:dyDescent="0.2">
      <c r="D1426" s="257"/>
      <c r="E1426" s="257"/>
    </row>
    <row r="1427" spans="4:5" s="238" customFormat="1" ht="14.25" x14ac:dyDescent="0.2">
      <c r="D1427" s="257"/>
      <c r="E1427" s="257"/>
    </row>
    <row r="1428" spans="4:5" s="238" customFormat="1" ht="14.25" x14ac:dyDescent="0.2">
      <c r="D1428" s="257"/>
      <c r="E1428" s="257"/>
    </row>
    <row r="1429" spans="4:5" s="238" customFormat="1" ht="14.25" x14ac:dyDescent="0.2">
      <c r="D1429" s="257"/>
      <c r="E1429" s="257"/>
    </row>
    <row r="1430" spans="4:5" s="238" customFormat="1" ht="14.25" x14ac:dyDescent="0.2">
      <c r="D1430" s="257"/>
      <c r="E1430" s="257"/>
    </row>
    <row r="1431" spans="4:5" s="238" customFormat="1" ht="14.25" x14ac:dyDescent="0.2">
      <c r="D1431" s="257"/>
      <c r="E1431" s="257"/>
    </row>
    <row r="1432" spans="4:5" s="238" customFormat="1" ht="14.25" x14ac:dyDescent="0.2">
      <c r="D1432" s="257"/>
      <c r="E1432" s="257"/>
    </row>
    <row r="1433" spans="4:5" s="238" customFormat="1" ht="14.25" x14ac:dyDescent="0.2">
      <c r="D1433" s="257"/>
      <c r="E1433" s="257"/>
    </row>
    <row r="1434" spans="4:5" s="238" customFormat="1" ht="14.25" x14ac:dyDescent="0.2">
      <c r="D1434" s="257"/>
      <c r="E1434" s="257"/>
    </row>
    <row r="1435" spans="4:5" s="238" customFormat="1" ht="14.25" x14ac:dyDescent="0.2">
      <c r="D1435" s="257"/>
      <c r="E1435" s="257"/>
    </row>
    <row r="1436" spans="4:5" s="238" customFormat="1" ht="14.25" x14ac:dyDescent="0.2">
      <c r="D1436" s="257"/>
      <c r="E1436" s="257"/>
    </row>
    <row r="1437" spans="4:5" s="238" customFormat="1" ht="14.25" x14ac:dyDescent="0.2">
      <c r="D1437" s="257"/>
      <c r="E1437" s="257"/>
    </row>
    <row r="1438" spans="4:5" s="238" customFormat="1" ht="14.25" x14ac:dyDescent="0.2">
      <c r="D1438" s="257"/>
      <c r="E1438" s="257"/>
    </row>
    <row r="1439" spans="4:5" s="238" customFormat="1" ht="14.25" x14ac:dyDescent="0.2">
      <c r="D1439" s="257"/>
      <c r="E1439" s="257"/>
    </row>
    <row r="1440" spans="4:5" s="238" customFormat="1" ht="14.25" x14ac:dyDescent="0.2">
      <c r="D1440" s="257"/>
      <c r="E1440" s="257"/>
    </row>
    <row r="1441" spans="4:5" s="238" customFormat="1" ht="14.25" x14ac:dyDescent="0.2">
      <c r="D1441" s="257"/>
      <c r="E1441" s="257"/>
    </row>
    <row r="1442" spans="4:5" s="238" customFormat="1" ht="14.25" x14ac:dyDescent="0.2">
      <c r="D1442" s="257"/>
      <c r="E1442" s="257"/>
    </row>
    <row r="1443" spans="4:5" s="238" customFormat="1" ht="14.25" x14ac:dyDescent="0.2">
      <c r="D1443" s="257"/>
      <c r="E1443" s="257"/>
    </row>
    <row r="1444" spans="4:5" s="238" customFormat="1" ht="14.25" x14ac:dyDescent="0.2">
      <c r="D1444" s="257"/>
      <c r="E1444" s="257"/>
    </row>
    <row r="1445" spans="4:5" s="238" customFormat="1" ht="14.25" x14ac:dyDescent="0.2">
      <c r="D1445" s="257"/>
      <c r="E1445" s="257"/>
    </row>
    <row r="1446" spans="4:5" s="238" customFormat="1" ht="14.25" x14ac:dyDescent="0.2">
      <c r="D1446" s="257"/>
      <c r="E1446" s="257"/>
    </row>
    <row r="1447" spans="4:5" s="238" customFormat="1" ht="14.25" x14ac:dyDescent="0.2">
      <c r="D1447" s="257"/>
      <c r="E1447" s="257"/>
    </row>
    <row r="1448" spans="4:5" s="238" customFormat="1" ht="14.25" x14ac:dyDescent="0.2">
      <c r="D1448" s="257"/>
      <c r="E1448" s="257"/>
    </row>
    <row r="1449" spans="4:5" s="238" customFormat="1" ht="14.25" x14ac:dyDescent="0.2">
      <c r="D1449" s="257"/>
      <c r="E1449" s="257"/>
    </row>
    <row r="1450" spans="4:5" s="238" customFormat="1" ht="14.25" x14ac:dyDescent="0.2">
      <c r="D1450" s="257"/>
      <c r="E1450" s="257"/>
    </row>
    <row r="1451" spans="4:5" s="238" customFormat="1" ht="14.25" x14ac:dyDescent="0.2">
      <c r="D1451" s="257"/>
      <c r="E1451" s="257"/>
    </row>
    <row r="1452" spans="4:5" s="238" customFormat="1" ht="14.25" x14ac:dyDescent="0.2">
      <c r="D1452" s="257"/>
      <c r="E1452" s="257"/>
    </row>
    <row r="1453" spans="4:5" s="238" customFormat="1" ht="14.25" x14ac:dyDescent="0.2">
      <c r="D1453" s="257"/>
      <c r="E1453" s="257"/>
    </row>
    <row r="1454" spans="4:5" s="238" customFormat="1" ht="14.25" x14ac:dyDescent="0.2">
      <c r="D1454" s="257"/>
      <c r="E1454" s="257"/>
    </row>
    <row r="1455" spans="4:5" s="238" customFormat="1" ht="14.25" x14ac:dyDescent="0.2">
      <c r="D1455" s="257"/>
      <c r="E1455" s="257"/>
    </row>
    <row r="1456" spans="4:5" s="238" customFormat="1" ht="14.25" x14ac:dyDescent="0.2">
      <c r="D1456" s="257"/>
      <c r="E1456" s="257"/>
    </row>
    <row r="1457" spans="4:5" s="238" customFormat="1" ht="14.25" x14ac:dyDescent="0.2">
      <c r="D1457" s="257"/>
      <c r="E1457" s="257"/>
    </row>
    <row r="1458" spans="4:5" s="238" customFormat="1" ht="14.25" x14ac:dyDescent="0.2">
      <c r="D1458" s="257"/>
      <c r="E1458" s="257"/>
    </row>
    <row r="1459" spans="4:5" s="238" customFormat="1" ht="14.25" x14ac:dyDescent="0.2">
      <c r="D1459" s="257"/>
      <c r="E1459" s="257"/>
    </row>
    <row r="1460" spans="4:5" s="238" customFormat="1" ht="14.25" x14ac:dyDescent="0.2">
      <c r="D1460" s="257"/>
      <c r="E1460" s="257"/>
    </row>
    <row r="1461" spans="4:5" s="238" customFormat="1" ht="14.25" x14ac:dyDescent="0.2">
      <c r="D1461" s="257"/>
      <c r="E1461" s="257"/>
    </row>
    <row r="1462" spans="4:5" s="238" customFormat="1" ht="14.25" x14ac:dyDescent="0.2">
      <c r="D1462" s="257"/>
      <c r="E1462" s="257"/>
    </row>
    <row r="1463" spans="4:5" s="238" customFormat="1" ht="14.25" x14ac:dyDescent="0.2">
      <c r="D1463" s="257"/>
      <c r="E1463" s="257"/>
    </row>
    <row r="1464" spans="4:5" s="238" customFormat="1" ht="14.25" x14ac:dyDescent="0.2">
      <c r="D1464" s="257"/>
      <c r="E1464" s="257"/>
    </row>
    <row r="1465" spans="4:5" s="238" customFormat="1" ht="14.25" x14ac:dyDescent="0.2">
      <c r="D1465" s="257"/>
      <c r="E1465" s="257"/>
    </row>
    <row r="1466" spans="4:5" s="238" customFormat="1" ht="14.25" x14ac:dyDescent="0.2">
      <c r="D1466" s="257"/>
      <c r="E1466" s="257"/>
    </row>
    <row r="1467" spans="4:5" s="238" customFormat="1" ht="14.25" x14ac:dyDescent="0.2">
      <c r="D1467" s="257"/>
      <c r="E1467" s="257"/>
    </row>
    <row r="1468" spans="4:5" s="238" customFormat="1" ht="14.25" x14ac:dyDescent="0.2">
      <c r="D1468" s="257"/>
      <c r="E1468" s="257"/>
    </row>
    <row r="1469" spans="4:5" s="238" customFormat="1" ht="14.25" x14ac:dyDescent="0.2">
      <c r="D1469" s="257"/>
      <c r="E1469" s="257"/>
    </row>
    <row r="1470" spans="4:5" s="238" customFormat="1" ht="14.25" x14ac:dyDescent="0.2">
      <c r="D1470" s="257"/>
      <c r="E1470" s="257"/>
    </row>
    <row r="1471" spans="4:5" s="238" customFormat="1" ht="14.25" x14ac:dyDescent="0.2">
      <c r="D1471" s="257"/>
      <c r="E1471" s="257"/>
    </row>
    <row r="1472" spans="4:5" s="238" customFormat="1" ht="14.25" x14ac:dyDescent="0.2">
      <c r="D1472" s="257"/>
      <c r="E1472" s="257"/>
    </row>
    <row r="1473" spans="4:5" s="238" customFormat="1" ht="14.25" x14ac:dyDescent="0.2">
      <c r="D1473" s="257"/>
      <c r="E1473" s="257"/>
    </row>
    <row r="1474" spans="4:5" s="238" customFormat="1" ht="14.25" x14ac:dyDescent="0.2">
      <c r="D1474" s="257"/>
      <c r="E1474" s="257"/>
    </row>
    <row r="1475" spans="4:5" s="238" customFormat="1" ht="14.25" x14ac:dyDescent="0.2">
      <c r="D1475" s="257"/>
      <c r="E1475" s="257"/>
    </row>
    <row r="1476" spans="4:5" s="238" customFormat="1" ht="14.25" x14ac:dyDescent="0.2">
      <c r="D1476" s="257"/>
      <c r="E1476" s="257"/>
    </row>
    <row r="1477" spans="4:5" s="238" customFormat="1" ht="14.25" x14ac:dyDescent="0.2">
      <c r="D1477" s="257"/>
      <c r="E1477" s="257"/>
    </row>
    <row r="1478" spans="4:5" s="238" customFormat="1" ht="14.25" x14ac:dyDescent="0.2">
      <c r="D1478" s="257"/>
      <c r="E1478" s="257"/>
    </row>
    <row r="1479" spans="4:5" s="238" customFormat="1" ht="14.25" x14ac:dyDescent="0.2">
      <c r="D1479" s="257"/>
      <c r="E1479" s="257"/>
    </row>
    <row r="1480" spans="4:5" s="238" customFormat="1" ht="14.25" x14ac:dyDescent="0.2">
      <c r="D1480" s="257"/>
      <c r="E1480" s="257"/>
    </row>
    <row r="1481" spans="4:5" s="238" customFormat="1" ht="14.25" x14ac:dyDescent="0.2">
      <c r="D1481" s="257"/>
      <c r="E1481" s="257"/>
    </row>
    <row r="1482" spans="4:5" s="238" customFormat="1" ht="14.25" x14ac:dyDescent="0.2">
      <c r="D1482" s="257"/>
      <c r="E1482" s="257"/>
    </row>
    <row r="1483" spans="4:5" s="238" customFormat="1" ht="14.25" x14ac:dyDescent="0.2">
      <c r="D1483" s="257"/>
      <c r="E1483" s="257"/>
    </row>
    <row r="1484" spans="4:5" s="238" customFormat="1" ht="14.25" x14ac:dyDescent="0.2">
      <c r="D1484" s="257"/>
      <c r="E1484" s="257"/>
    </row>
    <row r="1485" spans="4:5" s="238" customFormat="1" ht="14.25" x14ac:dyDescent="0.2">
      <c r="D1485" s="257"/>
      <c r="E1485" s="257"/>
    </row>
    <row r="1486" spans="4:5" s="238" customFormat="1" ht="14.25" x14ac:dyDescent="0.2">
      <c r="D1486" s="257"/>
      <c r="E1486" s="257"/>
    </row>
    <row r="1487" spans="4:5" s="238" customFormat="1" ht="14.25" x14ac:dyDescent="0.2">
      <c r="D1487" s="257"/>
      <c r="E1487" s="257"/>
    </row>
    <row r="1488" spans="4:5" s="238" customFormat="1" ht="14.25" x14ac:dyDescent="0.2">
      <c r="D1488" s="257"/>
      <c r="E1488" s="257"/>
    </row>
    <row r="1489" spans="4:5" s="238" customFormat="1" ht="14.25" x14ac:dyDescent="0.2">
      <c r="D1489" s="257"/>
      <c r="E1489" s="257"/>
    </row>
    <row r="1490" spans="4:5" s="238" customFormat="1" ht="14.25" x14ac:dyDescent="0.2">
      <c r="D1490" s="257"/>
      <c r="E1490" s="257"/>
    </row>
    <row r="1491" spans="4:5" s="238" customFormat="1" ht="14.25" x14ac:dyDescent="0.2">
      <c r="D1491" s="257"/>
      <c r="E1491" s="257"/>
    </row>
    <row r="1492" spans="4:5" s="238" customFormat="1" ht="14.25" x14ac:dyDescent="0.2">
      <c r="D1492" s="257"/>
      <c r="E1492" s="257"/>
    </row>
    <row r="1493" spans="4:5" s="238" customFormat="1" ht="14.25" x14ac:dyDescent="0.2">
      <c r="D1493" s="257"/>
      <c r="E1493" s="257"/>
    </row>
    <row r="1494" spans="4:5" s="238" customFormat="1" ht="14.25" x14ac:dyDescent="0.2">
      <c r="D1494" s="257"/>
      <c r="E1494" s="257"/>
    </row>
    <row r="1495" spans="4:5" s="238" customFormat="1" ht="14.25" x14ac:dyDescent="0.2">
      <c r="D1495" s="257"/>
      <c r="E1495" s="257"/>
    </row>
    <row r="1496" spans="4:5" s="238" customFormat="1" ht="14.25" x14ac:dyDescent="0.2">
      <c r="D1496" s="257"/>
      <c r="E1496" s="257"/>
    </row>
    <row r="1497" spans="4:5" s="238" customFormat="1" ht="14.25" x14ac:dyDescent="0.2">
      <c r="D1497" s="257"/>
      <c r="E1497" s="257"/>
    </row>
    <row r="1498" spans="4:5" s="238" customFormat="1" ht="14.25" x14ac:dyDescent="0.2">
      <c r="D1498" s="257"/>
      <c r="E1498" s="257"/>
    </row>
    <row r="1499" spans="4:5" s="238" customFormat="1" ht="14.25" x14ac:dyDescent="0.2">
      <c r="D1499" s="257"/>
      <c r="E1499" s="257"/>
    </row>
    <row r="1500" spans="4:5" s="238" customFormat="1" ht="14.25" x14ac:dyDescent="0.2">
      <c r="D1500" s="257"/>
      <c r="E1500" s="257"/>
    </row>
    <row r="1501" spans="4:5" s="238" customFormat="1" ht="14.25" x14ac:dyDescent="0.2">
      <c r="D1501" s="257"/>
      <c r="E1501" s="257"/>
    </row>
    <row r="1502" spans="4:5" s="238" customFormat="1" ht="14.25" x14ac:dyDescent="0.2">
      <c r="D1502" s="257"/>
      <c r="E1502" s="257"/>
    </row>
    <row r="1503" spans="4:5" s="238" customFormat="1" ht="14.25" x14ac:dyDescent="0.2">
      <c r="D1503" s="257"/>
      <c r="E1503" s="257"/>
    </row>
    <row r="1504" spans="4:5" s="238" customFormat="1" ht="14.25" x14ac:dyDescent="0.2">
      <c r="D1504" s="257"/>
      <c r="E1504" s="257"/>
    </row>
    <row r="1505" spans="4:5" s="238" customFormat="1" ht="14.25" x14ac:dyDescent="0.2">
      <c r="D1505" s="257"/>
      <c r="E1505" s="257"/>
    </row>
    <row r="1506" spans="4:5" s="238" customFormat="1" ht="14.25" x14ac:dyDescent="0.2">
      <c r="D1506" s="257"/>
      <c r="E1506" s="257"/>
    </row>
    <row r="1507" spans="4:5" s="238" customFormat="1" ht="14.25" x14ac:dyDescent="0.2">
      <c r="D1507" s="257"/>
      <c r="E1507" s="257"/>
    </row>
    <row r="1508" spans="4:5" s="238" customFormat="1" ht="14.25" x14ac:dyDescent="0.2">
      <c r="D1508" s="257"/>
      <c r="E1508" s="257"/>
    </row>
    <row r="1509" spans="4:5" s="238" customFormat="1" ht="14.25" x14ac:dyDescent="0.2">
      <c r="D1509" s="257"/>
      <c r="E1509" s="257"/>
    </row>
    <row r="1510" spans="4:5" s="238" customFormat="1" ht="14.25" x14ac:dyDescent="0.2">
      <c r="D1510" s="257"/>
      <c r="E1510" s="257"/>
    </row>
    <row r="1511" spans="4:5" s="238" customFormat="1" ht="14.25" x14ac:dyDescent="0.2">
      <c r="D1511" s="257"/>
      <c r="E1511" s="257"/>
    </row>
    <row r="1512" spans="4:5" s="238" customFormat="1" ht="14.25" x14ac:dyDescent="0.2">
      <c r="D1512" s="257"/>
      <c r="E1512" s="257"/>
    </row>
    <row r="1513" spans="4:5" s="238" customFormat="1" ht="14.25" x14ac:dyDescent="0.2">
      <c r="D1513" s="257"/>
      <c r="E1513" s="257"/>
    </row>
    <row r="1514" spans="4:5" s="238" customFormat="1" ht="14.25" x14ac:dyDescent="0.2">
      <c r="D1514" s="257"/>
      <c r="E1514" s="257"/>
    </row>
    <row r="1515" spans="4:5" s="238" customFormat="1" ht="14.25" x14ac:dyDescent="0.2">
      <c r="D1515" s="257"/>
      <c r="E1515" s="257"/>
    </row>
    <row r="1516" spans="4:5" s="238" customFormat="1" ht="14.25" x14ac:dyDescent="0.2">
      <c r="D1516" s="257"/>
      <c r="E1516" s="257"/>
    </row>
    <row r="1517" spans="4:5" s="238" customFormat="1" ht="14.25" x14ac:dyDescent="0.2">
      <c r="D1517" s="257"/>
      <c r="E1517" s="257"/>
    </row>
    <row r="1518" spans="4:5" s="238" customFormat="1" ht="14.25" x14ac:dyDescent="0.2">
      <c r="D1518" s="257"/>
      <c r="E1518" s="257"/>
    </row>
    <row r="1519" spans="4:5" s="238" customFormat="1" ht="14.25" x14ac:dyDescent="0.2">
      <c r="D1519" s="257"/>
      <c r="E1519" s="257"/>
    </row>
    <row r="1520" spans="4:5" s="238" customFormat="1" ht="14.25" x14ac:dyDescent="0.2">
      <c r="D1520" s="257"/>
      <c r="E1520" s="257"/>
    </row>
    <row r="1521" spans="4:5" s="238" customFormat="1" ht="14.25" x14ac:dyDescent="0.2">
      <c r="D1521" s="257"/>
      <c r="E1521" s="257"/>
    </row>
    <row r="1522" spans="4:5" s="238" customFormat="1" ht="14.25" x14ac:dyDescent="0.2">
      <c r="D1522" s="257"/>
      <c r="E1522" s="257"/>
    </row>
    <row r="1523" spans="4:5" s="238" customFormat="1" ht="14.25" x14ac:dyDescent="0.2">
      <c r="D1523" s="257"/>
      <c r="E1523" s="257"/>
    </row>
    <row r="1524" spans="4:5" s="238" customFormat="1" ht="14.25" x14ac:dyDescent="0.2">
      <c r="D1524" s="257"/>
      <c r="E1524" s="257"/>
    </row>
    <row r="1525" spans="4:5" s="238" customFormat="1" ht="14.25" x14ac:dyDescent="0.2">
      <c r="D1525" s="257"/>
      <c r="E1525" s="257"/>
    </row>
    <row r="1526" spans="4:5" s="238" customFormat="1" ht="14.25" x14ac:dyDescent="0.2">
      <c r="D1526" s="257"/>
      <c r="E1526" s="257"/>
    </row>
    <row r="1527" spans="4:5" s="238" customFormat="1" ht="14.25" x14ac:dyDescent="0.2">
      <c r="D1527" s="257"/>
      <c r="E1527" s="257"/>
    </row>
    <row r="1528" spans="4:5" s="238" customFormat="1" ht="14.25" x14ac:dyDescent="0.2">
      <c r="D1528" s="257"/>
      <c r="E1528" s="257"/>
    </row>
    <row r="1529" spans="4:5" s="238" customFormat="1" ht="14.25" x14ac:dyDescent="0.2">
      <c r="D1529" s="257"/>
      <c r="E1529" s="257"/>
    </row>
    <row r="1530" spans="4:5" s="238" customFormat="1" ht="14.25" x14ac:dyDescent="0.2">
      <c r="D1530" s="257"/>
      <c r="E1530" s="257"/>
    </row>
    <row r="1531" spans="4:5" s="238" customFormat="1" ht="14.25" x14ac:dyDescent="0.2">
      <c r="D1531" s="257"/>
      <c r="E1531" s="257"/>
    </row>
    <row r="1532" spans="4:5" s="238" customFormat="1" ht="14.25" x14ac:dyDescent="0.2">
      <c r="D1532" s="257"/>
      <c r="E1532" s="257"/>
    </row>
    <row r="1533" spans="4:5" s="238" customFormat="1" ht="14.25" x14ac:dyDescent="0.2">
      <c r="D1533" s="257"/>
      <c r="E1533" s="257"/>
    </row>
    <row r="1534" spans="4:5" s="238" customFormat="1" ht="14.25" x14ac:dyDescent="0.2">
      <c r="D1534" s="257"/>
      <c r="E1534" s="257"/>
    </row>
    <row r="1535" spans="4:5" s="238" customFormat="1" ht="14.25" x14ac:dyDescent="0.2">
      <c r="D1535" s="257"/>
      <c r="E1535" s="257"/>
    </row>
    <row r="1536" spans="4:5" s="238" customFormat="1" ht="14.25" x14ac:dyDescent="0.2">
      <c r="D1536" s="257"/>
      <c r="E1536" s="257"/>
    </row>
    <row r="1537" spans="4:5" s="238" customFormat="1" ht="14.25" x14ac:dyDescent="0.2">
      <c r="D1537" s="257"/>
      <c r="E1537" s="257"/>
    </row>
    <row r="1538" spans="4:5" s="238" customFormat="1" ht="14.25" x14ac:dyDescent="0.2">
      <c r="D1538" s="257"/>
      <c r="E1538" s="257"/>
    </row>
    <row r="1539" spans="4:5" s="238" customFormat="1" ht="14.25" x14ac:dyDescent="0.2">
      <c r="D1539" s="257"/>
      <c r="E1539" s="257"/>
    </row>
    <row r="1540" spans="4:5" s="238" customFormat="1" ht="14.25" x14ac:dyDescent="0.2">
      <c r="D1540" s="257"/>
      <c r="E1540" s="257"/>
    </row>
    <row r="1541" spans="4:5" s="238" customFormat="1" ht="14.25" x14ac:dyDescent="0.2">
      <c r="D1541" s="257"/>
      <c r="E1541" s="257"/>
    </row>
    <row r="1542" spans="4:5" s="238" customFormat="1" ht="14.25" x14ac:dyDescent="0.2">
      <c r="D1542" s="257"/>
      <c r="E1542" s="257"/>
    </row>
    <row r="1543" spans="4:5" s="238" customFormat="1" ht="14.25" x14ac:dyDescent="0.2">
      <c r="D1543" s="257"/>
      <c r="E1543" s="257"/>
    </row>
    <row r="1544" spans="4:5" s="238" customFormat="1" ht="14.25" x14ac:dyDescent="0.2">
      <c r="D1544" s="257"/>
      <c r="E1544" s="257"/>
    </row>
    <row r="1545" spans="4:5" s="238" customFormat="1" ht="14.25" x14ac:dyDescent="0.2">
      <c r="D1545" s="257"/>
      <c r="E1545" s="257"/>
    </row>
    <row r="1546" spans="4:5" s="238" customFormat="1" ht="14.25" x14ac:dyDescent="0.2">
      <c r="D1546" s="257"/>
      <c r="E1546" s="257"/>
    </row>
    <row r="1547" spans="4:5" s="238" customFormat="1" ht="14.25" x14ac:dyDescent="0.2">
      <c r="D1547" s="257"/>
      <c r="E1547" s="257"/>
    </row>
    <row r="1548" spans="4:5" s="238" customFormat="1" ht="14.25" x14ac:dyDescent="0.2">
      <c r="D1548" s="257"/>
      <c r="E1548" s="257"/>
    </row>
    <row r="1549" spans="4:5" s="238" customFormat="1" ht="14.25" x14ac:dyDescent="0.2">
      <c r="D1549" s="257"/>
      <c r="E1549" s="257"/>
    </row>
    <row r="1550" spans="4:5" s="238" customFormat="1" ht="14.25" x14ac:dyDescent="0.2">
      <c r="D1550" s="257"/>
      <c r="E1550" s="257"/>
    </row>
    <row r="1551" spans="4:5" s="238" customFormat="1" ht="14.25" x14ac:dyDescent="0.2">
      <c r="D1551" s="257"/>
      <c r="E1551" s="257"/>
    </row>
    <row r="1552" spans="4:5" s="238" customFormat="1" ht="14.25" x14ac:dyDescent="0.2">
      <c r="D1552" s="257"/>
      <c r="E1552" s="257"/>
    </row>
    <row r="1553" spans="4:5" s="238" customFormat="1" ht="14.25" x14ac:dyDescent="0.2">
      <c r="D1553" s="257"/>
      <c r="E1553" s="257"/>
    </row>
    <row r="1554" spans="4:5" s="238" customFormat="1" ht="14.25" x14ac:dyDescent="0.2">
      <c r="D1554" s="257"/>
      <c r="E1554" s="257"/>
    </row>
    <row r="1555" spans="4:5" s="238" customFormat="1" ht="14.25" x14ac:dyDescent="0.2">
      <c r="D1555" s="257"/>
      <c r="E1555" s="257"/>
    </row>
    <row r="1556" spans="4:5" s="238" customFormat="1" ht="14.25" x14ac:dyDescent="0.2">
      <c r="D1556" s="257"/>
      <c r="E1556" s="257"/>
    </row>
    <row r="1557" spans="4:5" s="238" customFormat="1" ht="14.25" x14ac:dyDescent="0.2">
      <c r="D1557" s="257"/>
      <c r="E1557" s="257"/>
    </row>
    <row r="1558" spans="4:5" s="238" customFormat="1" ht="14.25" x14ac:dyDescent="0.2">
      <c r="D1558" s="257"/>
      <c r="E1558" s="257"/>
    </row>
    <row r="1559" spans="4:5" s="238" customFormat="1" ht="14.25" x14ac:dyDescent="0.2">
      <c r="D1559" s="257"/>
      <c r="E1559" s="257"/>
    </row>
    <row r="1560" spans="4:5" s="238" customFormat="1" ht="14.25" x14ac:dyDescent="0.2">
      <c r="D1560" s="257"/>
      <c r="E1560" s="257"/>
    </row>
    <row r="1561" spans="4:5" s="238" customFormat="1" ht="14.25" x14ac:dyDescent="0.2">
      <c r="D1561" s="257"/>
      <c r="E1561" s="257"/>
    </row>
    <row r="1562" spans="4:5" s="238" customFormat="1" ht="14.25" x14ac:dyDescent="0.2">
      <c r="D1562" s="257"/>
      <c r="E1562" s="257"/>
    </row>
    <row r="1563" spans="4:5" s="238" customFormat="1" ht="14.25" x14ac:dyDescent="0.2">
      <c r="D1563" s="257"/>
      <c r="E1563" s="257"/>
    </row>
    <row r="1564" spans="4:5" s="238" customFormat="1" ht="14.25" x14ac:dyDescent="0.2">
      <c r="D1564" s="257"/>
      <c r="E1564" s="257"/>
    </row>
    <row r="1565" spans="4:5" s="238" customFormat="1" ht="14.25" x14ac:dyDescent="0.2">
      <c r="D1565" s="257"/>
      <c r="E1565" s="257"/>
    </row>
    <row r="1566" spans="4:5" s="238" customFormat="1" ht="14.25" x14ac:dyDescent="0.2">
      <c r="D1566" s="257"/>
      <c r="E1566" s="257"/>
    </row>
    <row r="1567" spans="4:5" s="238" customFormat="1" ht="14.25" x14ac:dyDescent="0.2">
      <c r="D1567" s="257"/>
      <c r="E1567" s="257"/>
    </row>
    <row r="1568" spans="4:5" s="238" customFormat="1" ht="14.25" x14ac:dyDescent="0.2">
      <c r="D1568" s="257"/>
      <c r="E1568" s="257"/>
    </row>
    <row r="1569" spans="4:5" s="238" customFormat="1" ht="14.25" x14ac:dyDescent="0.2">
      <c r="D1569" s="257"/>
      <c r="E1569" s="257"/>
    </row>
    <row r="1570" spans="4:5" s="238" customFormat="1" ht="14.25" x14ac:dyDescent="0.2">
      <c r="D1570" s="257"/>
      <c r="E1570" s="257"/>
    </row>
    <row r="1571" spans="4:5" s="238" customFormat="1" ht="14.25" x14ac:dyDescent="0.2">
      <c r="D1571" s="257"/>
      <c r="E1571" s="257"/>
    </row>
    <row r="1572" spans="4:5" s="238" customFormat="1" ht="14.25" x14ac:dyDescent="0.2">
      <c r="D1572" s="257"/>
      <c r="E1572" s="257"/>
    </row>
    <row r="1573" spans="4:5" s="238" customFormat="1" ht="14.25" x14ac:dyDescent="0.2">
      <c r="D1573" s="257"/>
      <c r="E1573" s="257"/>
    </row>
    <row r="1574" spans="4:5" s="238" customFormat="1" ht="14.25" x14ac:dyDescent="0.2">
      <c r="D1574" s="257"/>
      <c r="E1574" s="257"/>
    </row>
    <row r="1575" spans="4:5" s="238" customFormat="1" ht="14.25" x14ac:dyDescent="0.2">
      <c r="D1575" s="257"/>
      <c r="E1575" s="257"/>
    </row>
    <row r="1576" spans="4:5" s="238" customFormat="1" ht="14.25" x14ac:dyDescent="0.2">
      <c r="D1576" s="257"/>
      <c r="E1576" s="257"/>
    </row>
    <row r="1577" spans="4:5" s="238" customFormat="1" ht="14.25" x14ac:dyDescent="0.2">
      <c r="D1577" s="257"/>
      <c r="E1577" s="257"/>
    </row>
    <row r="1578" spans="4:5" s="238" customFormat="1" ht="14.25" x14ac:dyDescent="0.2">
      <c r="D1578" s="257"/>
      <c r="E1578" s="257"/>
    </row>
    <row r="1579" spans="4:5" s="238" customFormat="1" ht="14.25" x14ac:dyDescent="0.2">
      <c r="D1579" s="257"/>
      <c r="E1579" s="257"/>
    </row>
    <row r="1580" spans="4:5" s="238" customFormat="1" ht="14.25" x14ac:dyDescent="0.2">
      <c r="D1580" s="257"/>
      <c r="E1580" s="257"/>
    </row>
    <row r="1581" spans="4:5" s="238" customFormat="1" ht="14.25" x14ac:dyDescent="0.2">
      <c r="D1581" s="257"/>
      <c r="E1581" s="257"/>
    </row>
    <row r="1582" spans="4:5" s="238" customFormat="1" ht="14.25" x14ac:dyDescent="0.2">
      <c r="D1582" s="257"/>
      <c r="E1582" s="257"/>
    </row>
    <row r="1583" spans="4:5" s="238" customFormat="1" ht="14.25" x14ac:dyDescent="0.2">
      <c r="D1583" s="257"/>
      <c r="E1583" s="257"/>
    </row>
    <row r="1584" spans="4:5" s="238" customFormat="1" ht="14.25" x14ac:dyDescent="0.2">
      <c r="D1584" s="257"/>
      <c r="E1584" s="257"/>
    </row>
    <row r="1585" spans="4:5" s="238" customFormat="1" ht="14.25" x14ac:dyDescent="0.2">
      <c r="D1585" s="257"/>
      <c r="E1585" s="257"/>
    </row>
    <row r="1586" spans="4:5" s="238" customFormat="1" ht="14.25" x14ac:dyDescent="0.2">
      <c r="D1586" s="257"/>
      <c r="E1586" s="257"/>
    </row>
    <row r="1587" spans="4:5" s="238" customFormat="1" ht="14.25" x14ac:dyDescent="0.2">
      <c r="D1587" s="257"/>
      <c r="E1587" s="257"/>
    </row>
    <row r="1588" spans="4:5" s="238" customFormat="1" ht="14.25" x14ac:dyDescent="0.2">
      <c r="D1588" s="257"/>
      <c r="E1588" s="257"/>
    </row>
    <row r="1589" spans="4:5" s="238" customFormat="1" ht="14.25" x14ac:dyDescent="0.2">
      <c r="D1589" s="257"/>
      <c r="E1589" s="257"/>
    </row>
    <row r="1590" spans="4:5" s="238" customFormat="1" ht="14.25" x14ac:dyDescent="0.2">
      <c r="D1590" s="257"/>
      <c r="E1590" s="257"/>
    </row>
    <row r="1591" spans="4:5" s="238" customFormat="1" ht="14.25" x14ac:dyDescent="0.2">
      <c r="D1591" s="257"/>
      <c r="E1591" s="257"/>
    </row>
    <row r="1592" spans="4:5" s="238" customFormat="1" ht="14.25" x14ac:dyDescent="0.2">
      <c r="D1592" s="257"/>
      <c r="E1592" s="257"/>
    </row>
    <row r="1593" spans="4:5" s="238" customFormat="1" ht="14.25" x14ac:dyDescent="0.2">
      <c r="D1593" s="257"/>
      <c r="E1593" s="257"/>
    </row>
    <row r="1594" spans="4:5" s="238" customFormat="1" ht="14.25" x14ac:dyDescent="0.2">
      <c r="D1594" s="257"/>
      <c r="E1594" s="257"/>
    </row>
    <row r="1595" spans="4:5" s="238" customFormat="1" ht="14.25" x14ac:dyDescent="0.2">
      <c r="D1595" s="257"/>
      <c r="E1595" s="257"/>
    </row>
    <row r="1596" spans="4:5" s="238" customFormat="1" ht="14.25" x14ac:dyDescent="0.2">
      <c r="D1596" s="257"/>
      <c r="E1596" s="257"/>
    </row>
    <row r="1597" spans="4:5" s="238" customFormat="1" ht="14.25" x14ac:dyDescent="0.2">
      <c r="D1597" s="257"/>
      <c r="E1597" s="257"/>
    </row>
    <row r="1598" spans="4:5" s="238" customFormat="1" ht="14.25" x14ac:dyDescent="0.2">
      <c r="D1598" s="257"/>
      <c r="E1598" s="257"/>
    </row>
    <row r="1599" spans="4:5" s="238" customFormat="1" ht="14.25" x14ac:dyDescent="0.2">
      <c r="D1599" s="257"/>
      <c r="E1599" s="257"/>
    </row>
    <row r="1600" spans="4:5" s="238" customFormat="1" ht="14.25" x14ac:dyDescent="0.2">
      <c r="D1600" s="257"/>
      <c r="E1600" s="257"/>
    </row>
    <row r="1601" spans="4:5" s="238" customFormat="1" ht="14.25" x14ac:dyDescent="0.2">
      <c r="D1601" s="257"/>
      <c r="E1601" s="257"/>
    </row>
    <row r="1602" spans="4:5" s="238" customFormat="1" ht="14.25" x14ac:dyDescent="0.2">
      <c r="D1602" s="257"/>
      <c r="E1602" s="257"/>
    </row>
    <row r="1603" spans="4:5" s="238" customFormat="1" ht="14.25" x14ac:dyDescent="0.2">
      <c r="D1603" s="257"/>
      <c r="E1603" s="257"/>
    </row>
    <row r="1604" spans="4:5" s="238" customFormat="1" ht="14.25" x14ac:dyDescent="0.2">
      <c r="D1604" s="257"/>
      <c r="E1604" s="257"/>
    </row>
    <row r="1605" spans="4:5" s="238" customFormat="1" ht="14.25" x14ac:dyDescent="0.2">
      <c r="D1605" s="257"/>
      <c r="E1605" s="257"/>
    </row>
    <row r="1606" spans="4:5" s="238" customFormat="1" ht="14.25" x14ac:dyDescent="0.2">
      <c r="D1606" s="257"/>
      <c r="E1606" s="257"/>
    </row>
    <row r="1607" spans="4:5" s="238" customFormat="1" ht="14.25" x14ac:dyDescent="0.2">
      <c r="D1607" s="257"/>
      <c r="E1607" s="257"/>
    </row>
    <row r="1608" spans="4:5" s="238" customFormat="1" ht="14.25" x14ac:dyDescent="0.2">
      <c r="D1608" s="257"/>
      <c r="E1608" s="257"/>
    </row>
    <row r="1609" spans="4:5" s="238" customFormat="1" ht="14.25" x14ac:dyDescent="0.2">
      <c r="D1609" s="257"/>
      <c r="E1609" s="257"/>
    </row>
    <row r="1610" spans="4:5" s="238" customFormat="1" ht="14.25" x14ac:dyDescent="0.2">
      <c r="D1610" s="257"/>
      <c r="E1610" s="257"/>
    </row>
    <row r="1611" spans="4:5" s="238" customFormat="1" ht="14.25" x14ac:dyDescent="0.2">
      <c r="D1611" s="257"/>
      <c r="E1611" s="257"/>
    </row>
    <row r="1612" spans="4:5" s="238" customFormat="1" ht="14.25" x14ac:dyDescent="0.2">
      <c r="D1612" s="257"/>
      <c r="E1612" s="257"/>
    </row>
    <row r="1613" spans="4:5" s="238" customFormat="1" ht="14.25" x14ac:dyDescent="0.2">
      <c r="D1613" s="257"/>
      <c r="E1613" s="257"/>
    </row>
    <row r="1614" spans="4:5" s="238" customFormat="1" ht="14.25" x14ac:dyDescent="0.2">
      <c r="D1614" s="257"/>
      <c r="E1614" s="257"/>
    </row>
    <row r="1615" spans="4:5" s="238" customFormat="1" ht="14.25" x14ac:dyDescent="0.2">
      <c r="D1615" s="257"/>
      <c r="E1615" s="257"/>
    </row>
    <row r="1616" spans="4:5" s="238" customFormat="1" ht="14.25" x14ac:dyDescent="0.2">
      <c r="D1616" s="257"/>
      <c r="E1616" s="257"/>
    </row>
    <row r="1617" spans="4:5" s="238" customFormat="1" ht="14.25" x14ac:dyDescent="0.2">
      <c r="D1617" s="257"/>
      <c r="E1617" s="257"/>
    </row>
    <row r="1618" spans="4:5" s="238" customFormat="1" ht="14.25" x14ac:dyDescent="0.2">
      <c r="D1618" s="257"/>
      <c r="E1618" s="257"/>
    </row>
    <row r="1619" spans="4:5" s="238" customFormat="1" ht="14.25" x14ac:dyDescent="0.2">
      <c r="D1619" s="257"/>
      <c r="E1619" s="257"/>
    </row>
    <row r="1620" spans="4:5" s="238" customFormat="1" ht="14.25" x14ac:dyDescent="0.2">
      <c r="D1620" s="257"/>
      <c r="E1620" s="257"/>
    </row>
    <row r="1621" spans="4:5" s="238" customFormat="1" ht="14.25" x14ac:dyDescent="0.2">
      <c r="D1621" s="257"/>
      <c r="E1621" s="257"/>
    </row>
    <row r="1622" spans="4:5" s="238" customFormat="1" ht="14.25" x14ac:dyDescent="0.2">
      <c r="D1622" s="257"/>
      <c r="E1622" s="257"/>
    </row>
    <row r="1623" spans="4:5" s="238" customFormat="1" ht="14.25" x14ac:dyDescent="0.2">
      <c r="D1623" s="257"/>
      <c r="E1623" s="257"/>
    </row>
    <row r="1624" spans="4:5" s="238" customFormat="1" ht="14.25" x14ac:dyDescent="0.2">
      <c r="D1624" s="257"/>
      <c r="E1624" s="257"/>
    </row>
    <row r="1625" spans="4:5" s="238" customFormat="1" ht="14.25" x14ac:dyDescent="0.2">
      <c r="D1625" s="257"/>
      <c r="E1625" s="257"/>
    </row>
    <row r="1626" spans="4:5" s="238" customFormat="1" ht="14.25" x14ac:dyDescent="0.2">
      <c r="D1626" s="257"/>
      <c r="E1626" s="257"/>
    </row>
    <row r="1627" spans="4:5" s="238" customFormat="1" ht="14.25" x14ac:dyDescent="0.2">
      <c r="D1627" s="257"/>
      <c r="E1627" s="257"/>
    </row>
    <row r="1628" spans="4:5" s="238" customFormat="1" ht="14.25" x14ac:dyDescent="0.2">
      <c r="D1628" s="257"/>
      <c r="E1628" s="257"/>
    </row>
    <row r="1629" spans="4:5" s="238" customFormat="1" ht="14.25" x14ac:dyDescent="0.2">
      <c r="D1629" s="257"/>
      <c r="E1629" s="257"/>
    </row>
    <row r="1630" spans="4:5" s="238" customFormat="1" ht="14.25" x14ac:dyDescent="0.2">
      <c r="D1630" s="257"/>
      <c r="E1630" s="257"/>
    </row>
    <row r="1631" spans="4:5" s="238" customFormat="1" ht="14.25" x14ac:dyDescent="0.2">
      <c r="D1631" s="257"/>
      <c r="E1631" s="257"/>
    </row>
    <row r="1632" spans="4:5" s="238" customFormat="1" ht="14.25" x14ac:dyDescent="0.2">
      <c r="D1632" s="257"/>
      <c r="E1632" s="257"/>
    </row>
    <row r="1633" spans="4:5" s="238" customFormat="1" ht="14.25" x14ac:dyDescent="0.2">
      <c r="D1633" s="257"/>
      <c r="E1633" s="257"/>
    </row>
    <row r="1634" spans="4:5" s="238" customFormat="1" ht="14.25" x14ac:dyDescent="0.2">
      <c r="D1634" s="257"/>
      <c r="E1634" s="257"/>
    </row>
    <row r="1635" spans="4:5" s="238" customFormat="1" ht="14.25" x14ac:dyDescent="0.2">
      <c r="D1635" s="257"/>
      <c r="E1635" s="257"/>
    </row>
    <row r="1636" spans="4:5" s="238" customFormat="1" ht="14.25" x14ac:dyDescent="0.2">
      <c r="D1636" s="257"/>
      <c r="E1636" s="257"/>
    </row>
    <row r="1637" spans="4:5" s="238" customFormat="1" ht="14.25" x14ac:dyDescent="0.2">
      <c r="D1637" s="257"/>
      <c r="E1637" s="257"/>
    </row>
    <row r="1638" spans="4:5" s="238" customFormat="1" ht="14.25" x14ac:dyDescent="0.2">
      <c r="D1638" s="257"/>
      <c r="E1638" s="257"/>
    </row>
    <row r="1639" spans="4:5" s="238" customFormat="1" ht="14.25" x14ac:dyDescent="0.2">
      <c r="D1639" s="257"/>
      <c r="E1639" s="257"/>
    </row>
    <row r="1640" spans="4:5" s="238" customFormat="1" ht="14.25" x14ac:dyDescent="0.2">
      <c r="D1640" s="257"/>
      <c r="E1640" s="257"/>
    </row>
    <row r="1641" spans="4:5" s="238" customFormat="1" ht="14.25" x14ac:dyDescent="0.2">
      <c r="D1641" s="257"/>
      <c r="E1641" s="257"/>
    </row>
    <row r="1642" spans="4:5" s="238" customFormat="1" ht="14.25" x14ac:dyDescent="0.2">
      <c r="D1642" s="257"/>
      <c r="E1642" s="257"/>
    </row>
    <row r="1643" spans="4:5" s="238" customFormat="1" ht="14.25" x14ac:dyDescent="0.2">
      <c r="D1643" s="257"/>
      <c r="E1643" s="257"/>
    </row>
    <row r="1644" spans="4:5" s="238" customFormat="1" ht="14.25" x14ac:dyDescent="0.2">
      <c r="D1644" s="257"/>
      <c r="E1644" s="257"/>
    </row>
    <row r="1645" spans="4:5" s="238" customFormat="1" ht="14.25" x14ac:dyDescent="0.2">
      <c r="D1645" s="257"/>
      <c r="E1645" s="257"/>
    </row>
    <row r="1646" spans="4:5" s="238" customFormat="1" ht="14.25" x14ac:dyDescent="0.2">
      <c r="D1646" s="257"/>
      <c r="E1646" s="257"/>
    </row>
    <row r="1647" spans="4:5" s="238" customFormat="1" ht="14.25" x14ac:dyDescent="0.2">
      <c r="D1647" s="257"/>
      <c r="E1647" s="257"/>
    </row>
    <row r="1648" spans="4:5" s="238" customFormat="1" ht="14.25" x14ac:dyDescent="0.2">
      <c r="D1648" s="257"/>
      <c r="E1648" s="257"/>
    </row>
    <row r="1649" spans="4:5" s="238" customFormat="1" ht="14.25" x14ac:dyDescent="0.2">
      <c r="D1649" s="257"/>
      <c r="E1649" s="257"/>
    </row>
    <row r="1650" spans="4:5" s="238" customFormat="1" ht="14.25" x14ac:dyDescent="0.2">
      <c r="D1650" s="257"/>
      <c r="E1650" s="257"/>
    </row>
    <row r="1651" spans="4:5" s="238" customFormat="1" ht="14.25" x14ac:dyDescent="0.2">
      <c r="D1651" s="257"/>
      <c r="E1651" s="257"/>
    </row>
    <row r="1652" spans="4:5" s="238" customFormat="1" ht="14.25" x14ac:dyDescent="0.2">
      <c r="D1652" s="257"/>
      <c r="E1652" s="257"/>
    </row>
    <row r="1653" spans="4:5" s="238" customFormat="1" ht="14.25" x14ac:dyDescent="0.2">
      <c r="D1653" s="257"/>
      <c r="E1653" s="257"/>
    </row>
    <row r="1654" spans="4:5" s="238" customFormat="1" ht="14.25" x14ac:dyDescent="0.2">
      <c r="D1654" s="257"/>
      <c r="E1654" s="257"/>
    </row>
    <row r="1655" spans="4:5" s="238" customFormat="1" ht="14.25" x14ac:dyDescent="0.2">
      <c r="D1655" s="257"/>
      <c r="E1655" s="257"/>
    </row>
    <row r="1656" spans="4:5" s="238" customFormat="1" ht="14.25" x14ac:dyDescent="0.2">
      <c r="D1656" s="257"/>
      <c r="E1656" s="257"/>
    </row>
    <row r="1657" spans="4:5" s="238" customFormat="1" ht="14.25" x14ac:dyDescent="0.2">
      <c r="D1657" s="257"/>
      <c r="E1657" s="257"/>
    </row>
    <row r="1658" spans="4:5" s="238" customFormat="1" ht="14.25" x14ac:dyDescent="0.2">
      <c r="D1658" s="257"/>
      <c r="E1658" s="257"/>
    </row>
    <row r="1659" spans="4:5" s="238" customFormat="1" ht="14.25" x14ac:dyDescent="0.2">
      <c r="D1659" s="257"/>
      <c r="E1659" s="257"/>
    </row>
    <row r="1660" spans="4:5" s="238" customFormat="1" ht="14.25" x14ac:dyDescent="0.2">
      <c r="D1660" s="257"/>
      <c r="E1660" s="257"/>
    </row>
    <row r="1661" spans="4:5" s="238" customFormat="1" ht="14.25" x14ac:dyDescent="0.2">
      <c r="D1661" s="257"/>
      <c r="E1661" s="257"/>
    </row>
    <row r="1662" spans="4:5" s="238" customFormat="1" ht="14.25" x14ac:dyDescent="0.2">
      <c r="D1662" s="257"/>
      <c r="E1662" s="257"/>
    </row>
    <row r="1663" spans="4:5" s="238" customFormat="1" ht="14.25" x14ac:dyDescent="0.2">
      <c r="D1663" s="257"/>
      <c r="E1663" s="257"/>
    </row>
    <row r="1664" spans="4:5" s="238" customFormat="1" ht="14.25" x14ac:dyDescent="0.2">
      <c r="D1664" s="257"/>
      <c r="E1664" s="257"/>
    </row>
    <row r="1665" spans="4:5" s="238" customFormat="1" ht="14.25" x14ac:dyDescent="0.2">
      <c r="D1665" s="257"/>
      <c r="E1665" s="257"/>
    </row>
    <row r="1666" spans="4:5" s="238" customFormat="1" ht="14.25" x14ac:dyDescent="0.2">
      <c r="D1666" s="257"/>
      <c r="E1666" s="257"/>
    </row>
    <row r="1667" spans="4:5" s="238" customFormat="1" ht="14.25" x14ac:dyDescent="0.2">
      <c r="D1667" s="257"/>
      <c r="E1667" s="257"/>
    </row>
    <row r="1668" spans="4:5" s="238" customFormat="1" ht="14.25" x14ac:dyDescent="0.2">
      <c r="D1668" s="257"/>
      <c r="E1668" s="257"/>
    </row>
    <row r="1669" spans="4:5" s="238" customFormat="1" ht="14.25" x14ac:dyDescent="0.2">
      <c r="D1669" s="257"/>
      <c r="E1669" s="257"/>
    </row>
    <row r="1670" spans="4:5" s="238" customFormat="1" ht="14.25" x14ac:dyDescent="0.2">
      <c r="D1670" s="257"/>
      <c r="E1670" s="257"/>
    </row>
    <row r="1671" spans="4:5" s="238" customFormat="1" ht="14.25" x14ac:dyDescent="0.2">
      <c r="D1671" s="257"/>
      <c r="E1671" s="257"/>
    </row>
    <row r="1672" spans="4:5" s="238" customFormat="1" ht="14.25" x14ac:dyDescent="0.2">
      <c r="D1672" s="257"/>
      <c r="E1672" s="257"/>
    </row>
    <row r="1673" spans="4:5" s="238" customFormat="1" ht="14.25" x14ac:dyDescent="0.2">
      <c r="D1673" s="257"/>
      <c r="E1673" s="257"/>
    </row>
    <row r="1674" spans="4:5" s="238" customFormat="1" ht="14.25" x14ac:dyDescent="0.2">
      <c r="D1674" s="257"/>
      <c r="E1674" s="257"/>
    </row>
    <row r="1675" spans="4:5" s="238" customFormat="1" ht="14.25" x14ac:dyDescent="0.2">
      <c r="D1675" s="257"/>
      <c r="E1675" s="257"/>
    </row>
    <row r="1676" spans="4:5" s="238" customFormat="1" ht="14.25" x14ac:dyDescent="0.2">
      <c r="D1676" s="257"/>
      <c r="E1676" s="257"/>
    </row>
    <row r="1677" spans="4:5" s="238" customFormat="1" ht="14.25" x14ac:dyDescent="0.2">
      <c r="D1677" s="257"/>
      <c r="E1677" s="257"/>
    </row>
    <row r="1678" spans="4:5" s="238" customFormat="1" ht="14.25" x14ac:dyDescent="0.2">
      <c r="D1678" s="257"/>
      <c r="E1678" s="257"/>
    </row>
    <row r="1679" spans="4:5" s="238" customFormat="1" ht="14.25" x14ac:dyDescent="0.2">
      <c r="D1679" s="257"/>
      <c r="E1679" s="257"/>
    </row>
    <row r="1680" spans="4:5" s="238" customFormat="1" ht="14.25" x14ac:dyDescent="0.2">
      <c r="D1680" s="257"/>
      <c r="E1680" s="257"/>
    </row>
    <row r="1681" spans="4:5" s="238" customFormat="1" ht="14.25" x14ac:dyDescent="0.2">
      <c r="D1681" s="257"/>
      <c r="E1681" s="257"/>
    </row>
    <row r="1682" spans="4:5" s="238" customFormat="1" ht="14.25" x14ac:dyDescent="0.2">
      <c r="D1682" s="257"/>
      <c r="E1682" s="257"/>
    </row>
    <row r="1683" spans="4:5" s="238" customFormat="1" ht="14.25" x14ac:dyDescent="0.2">
      <c r="D1683" s="257"/>
      <c r="E1683" s="257"/>
    </row>
    <row r="1684" spans="4:5" s="238" customFormat="1" ht="14.25" x14ac:dyDescent="0.2">
      <c r="D1684" s="257"/>
      <c r="E1684" s="257"/>
    </row>
    <row r="1685" spans="4:5" s="238" customFormat="1" ht="14.25" x14ac:dyDescent="0.2">
      <c r="D1685" s="257"/>
      <c r="E1685" s="257"/>
    </row>
    <row r="1686" spans="4:5" s="238" customFormat="1" ht="14.25" x14ac:dyDescent="0.2">
      <c r="D1686" s="257"/>
      <c r="E1686" s="257"/>
    </row>
    <row r="1687" spans="4:5" s="238" customFormat="1" ht="14.25" x14ac:dyDescent="0.2">
      <c r="D1687" s="257"/>
      <c r="E1687" s="257"/>
    </row>
    <row r="1688" spans="4:5" s="238" customFormat="1" ht="14.25" x14ac:dyDescent="0.2">
      <c r="D1688" s="257"/>
      <c r="E1688" s="257"/>
    </row>
    <row r="1689" spans="4:5" s="238" customFormat="1" ht="14.25" x14ac:dyDescent="0.2">
      <c r="D1689" s="257"/>
      <c r="E1689" s="257"/>
    </row>
    <row r="1690" spans="4:5" s="238" customFormat="1" ht="14.25" x14ac:dyDescent="0.2">
      <c r="D1690" s="257"/>
      <c r="E1690" s="257"/>
    </row>
    <row r="1691" spans="4:5" s="238" customFormat="1" ht="14.25" x14ac:dyDescent="0.2">
      <c r="D1691" s="257"/>
      <c r="E1691" s="257"/>
    </row>
    <row r="1692" spans="4:5" s="238" customFormat="1" ht="14.25" x14ac:dyDescent="0.2">
      <c r="D1692" s="257"/>
      <c r="E1692" s="257"/>
    </row>
    <row r="1693" spans="4:5" s="238" customFormat="1" ht="14.25" x14ac:dyDescent="0.2">
      <c r="D1693" s="257"/>
      <c r="E1693" s="257"/>
    </row>
    <row r="1694" spans="4:5" s="238" customFormat="1" ht="14.25" x14ac:dyDescent="0.2">
      <c r="D1694" s="257"/>
      <c r="E1694" s="257"/>
    </row>
    <row r="1695" spans="4:5" s="238" customFormat="1" ht="14.25" x14ac:dyDescent="0.2">
      <c r="D1695" s="257"/>
      <c r="E1695" s="257"/>
    </row>
    <row r="1696" spans="4:5" s="238" customFormat="1" ht="14.25" x14ac:dyDescent="0.2">
      <c r="D1696" s="257"/>
      <c r="E1696" s="257"/>
    </row>
    <row r="1697" spans="4:5" s="238" customFormat="1" ht="14.25" x14ac:dyDescent="0.2">
      <c r="D1697" s="257"/>
      <c r="E1697" s="257"/>
    </row>
    <row r="1698" spans="4:5" s="238" customFormat="1" ht="14.25" x14ac:dyDescent="0.2">
      <c r="D1698" s="257"/>
      <c r="E1698" s="257"/>
    </row>
    <row r="1699" spans="4:5" s="238" customFormat="1" ht="14.25" x14ac:dyDescent="0.2">
      <c r="D1699" s="257"/>
      <c r="E1699" s="257"/>
    </row>
    <row r="1700" spans="4:5" s="238" customFormat="1" ht="14.25" x14ac:dyDescent="0.2">
      <c r="D1700" s="257"/>
      <c r="E1700" s="257"/>
    </row>
    <row r="1701" spans="4:5" s="238" customFormat="1" ht="14.25" x14ac:dyDescent="0.2">
      <c r="D1701" s="257"/>
      <c r="E1701" s="257"/>
    </row>
    <row r="1702" spans="4:5" s="238" customFormat="1" ht="14.25" x14ac:dyDescent="0.2">
      <c r="D1702" s="257"/>
      <c r="E1702" s="257"/>
    </row>
    <row r="1703" spans="4:5" s="238" customFormat="1" ht="14.25" x14ac:dyDescent="0.2">
      <c r="D1703" s="257"/>
      <c r="E1703" s="257"/>
    </row>
    <row r="1704" spans="4:5" s="238" customFormat="1" ht="14.25" x14ac:dyDescent="0.2">
      <c r="D1704" s="257"/>
      <c r="E1704" s="257"/>
    </row>
    <row r="1705" spans="4:5" s="238" customFormat="1" ht="14.25" x14ac:dyDescent="0.2">
      <c r="D1705" s="257"/>
      <c r="E1705" s="257"/>
    </row>
    <row r="1706" spans="4:5" s="238" customFormat="1" ht="14.25" x14ac:dyDescent="0.2">
      <c r="D1706" s="257"/>
      <c r="E1706" s="257"/>
    </row>
    <row r="1707" spans="4:5" s="238" customFormat="1" ht="14.25" x14ac:dyDescent="0.2">
      <c r="D1707" s="257"/>
      <c r="E1707" s="257"/>
    </row>
    <row r="1708" spans="4:5" s="238" customFormat="1" ht="14.25" x14ac:dyDescent="0.2">
      <c r="D1708" s="257"/>
      <c r="E1708" s="257"/>
    </row>
    <row r="1709" spans="4:5" s="238" customFormat="1" ht="14.25" x14ac:dyDescent="0.2">
      <c r="D1709" s="257"/>
      <c r="E1709" s="257"/>
    </row>
    <row r="1710" spans="4:5" s="238" customFormat="1" ht="14.25" x14ac:dyDescent="0.2">
      <c r="D1710" s="257"/>
      <c r="E1710" s="257"/>
    </row>
    <row r="1711" spans="4:5" s="238" customFormat="1" ht="14.25" x14ac:dyDescent="0.2">
      <c r="D1711" s="257"/>
      <c r="E1711" s="257"/>
    </row>
    <row r="1712" spans="4:5" s="238" customFormat="1" ht="14.25" x14ac:dyDescent="0.2">
      <c r="D1712" s="257"/>
      <c r="E1712" s="257"/>
    </row>
    <row r="1713" spans="4:5" s="238" customFormat="1" ht="14.25" x14ac:dyDescent="0.2">
      <c r="D1713" s="257"/>
      <c r="E1713" s="257"/>
    </row>
    <row r="1714" spans="4:5" s="238" customFormat="1" ht="14.25" x14ac:dyDescent="0.2">
      <c r="D1714" s="257"/>
      <c r="E1714" s="257"/>
    </row>
    <row r="1715" spans="4:5" s="238" customFormat="1" ht="14.25" x14ac:dyDescent="0.2">
      <c r="D1715" s="257"/>
      <c r="E1715" s="257"/>
    </row>
    <row r="1716" spans="4:5" s="238" customFormat="1" ht="14.25" x14ac:dyDescent="0.2">
      <c r="D1716" s="257"/>
      <c r="E1716" s="257"/>
    </row>
    <row r="1717" spans="4:5" s="238" customFormat="1" ht="14.25" x14ac:dyDescent="0.2">
      <c r="D1717" s="257"/>
      <c r="E1717" s="257"/>
    </row>
    <row r="1718" spans="4:5" s="238" customFormat="1" ht="14.25" x14ac:dyDescent="0.2">
      <c r="D1718" s="257"/>
      <c r="E1718" s="257"/>
    </row>
    <row r="1719" spans="4:5" s="238" customFormat="1" ht="14.25" x14ac:dyDescent="0.2">
      <c r="D1719" s="257"/>
      <c r="E1719" s="257"/>
    </row>
    <row r="1720" spans="4:5" s="238" customFormat="1" ht="14.25" x14ac:dyDescent="0.2">
      <c r="D1720" s="257"/>
      <c r="E1720" s="257"/>
    </row>
    <row r="1721" spans="4:5" s="238" customFormat="1" ht="14.25" x14ac:dyDescent="0.2">
      <c r="D1721" s="257"/>
      <c r="E1721" s="257"/>
    </row>
    <row r="1722" spans="4:5" s="238" customFormat="1" ht="14.25" x14ac:dyDescent="0.2">
      <c r="D1722" s="257"/>
      <c r="E1722" s="257"/>
    </row>
    <row r="1723" spans="4:5" s="238" customFormat="1" ht="14.25" x14ac:dyDescent="0.2">
      <c r="D1723" s="257"/>
      <c r="E1723" s="257"/>
    </row>
    <row r="1724" spans="4:5" s="238" customFormat="1" ht="14.25" x14ac:dyDescent="0.2">
      <c r="D1724" s="257"/>
      <c r="E1724" s="257"/>
    </row>
    <row r="1725" spans="4:5" s="238" customFormat="1" ht="14.25" x14ac:dyDescent="0.2">
      <c r="D1725" s="257"/>
      <c r="E1725" s="257"/>
    </row>
    <row r="1726" spans="4:5" s="238" customFormat="1" ht="14.25" x14ac:dyDescent="0.2">
      <c r="D1726" s="257"/>
      <c r="E1726" s="257"/>
    </row>
    <row r="1727" spans="4:5" s="238" customFormat="1" ht="14.25" x14ac:dyDescent="0.2">
      <c r="D1727" s="257"/>
      <c r="E1727" s="257"/>
    </row>
    <row r="1728" spans="4:5" s="238" customFormat="1" ht="14.25" x14ac:dyDescent="0.2">
      <c r="D1728" s="257"/>
      <c r="E1728" s="257"/>
    </row>
    <row r="1729" spans="4:5" s="238" customFormat="1" ht="14.25" x14ac:dyDescent="0.2">
      <c r="D1729" s="257"/>
      <c r="E1729" s="257"/>
    </row>
    <row r="1730" spans="4:5" s="238" customFormat="1" ht="14.25" x14ac:dyDescent="0.2">
      <c r="D1730" s="257"/>
      <c r="E1730" s="257"/>
    </row>
    <row r="1731" spans="4:5" s="238" customFormat="1" ht="14.25" x14ac:dyDescent="0.2">
      <c r="D1731" s="257"/>
      <c r="E1731" s="257"/>
    </row>
    <row r="1732" spans="4:5" s="238" customFormat="1" ht="14.25" x14ac:dyDescent="0.2">
      <c r="D1732" s="257"/>
      <c r="E1732" s="257"/>
    </row>
    <row r="1733" spans="4:5" s="238" customFormat="1" ht="14.25" x14ac:dyDescent="0.2">
      <c r="D1733" s="257"/>
      <c r="E1733" s="257"/>
    </row>
    <row r="1734" spans="4:5" s="238" customFormat="1" ht="14.25" x14ac:dyDescent="0.2">
      <c r="D1734" s="257"/>
      <c r="E1734" s="257"/>
    </row>
    <row r="1735" spans="4:5" s="238" customFormat="1" ht="14.25" x14ac:dyDescent="0.2">
      <c r="D1735" s="257"/>
      <c r="E1735" s="257"/>
    </row>
    <row r="1736" spans="4:5" s="238" customFormat="1" ht="14.25" x14ac:dyDescent="0.2">
      <c r="D1736" s="257"/>
      <c r="E1736" s="257"/>
    </row>
    <row r="1737" spans="4:5" s="238" customFormat="1" ht="14.25" x14ac:dyDescent="0.2">
      <c r="D1737" s="257"/>
      <c r="E1737" s="257"/>
    </row>
    <row r="1738" spans="4:5" s="238" customFormat="1" ht="14.25" x14ac:dyDescent="0.2">
      <c r="D1738" s="257"/>
      <c r="E1738" s="257"/>
    </row>
    <row r="1739" spans="4:5" s="238" customFormat="1" ht="14.25" x14ac:dyDescent="0.2">
      <c r="D1739" s="257"/>
      <c r="E1739" s="257"/>
    </row>
    <row r="1740" spans="4:5" s="238" customFormat="1" ht="14.25" x14ac:dyDescent="0.2">
      <c r="D1740" s="257"/>
      <c r="E1740" s="257"/>
    </row>
    <row r="1741" spans="4:5" s="238" customFormat="1" ht="14.25" x14ac:dyDescent="0.2">
      <c r="D1741" s="257"/>
      <c r="E1741" s="257"/>
    </row>
    <row r="1742" spans="4:5" s="238" customFormat="1" ht="14.25" x14ac:dyDescent="0.2">
      <c r="D1742" s="257"/>
      <c r="E1742" s="257"/>
    </row>
    <row r="1743" spans="4:5" s="238" customFormat="1" ht="14.25" x14ac:dyDescent="0.2">
      <c r="D1743" s="257"/>
      <c r="E1743" s="257"/>
    </row>
    <row r="1744" spans="4:5" s="238" customFormat="1" ht="14.25" x14ac:dyDescent="0.2">
      <c r="D1744" s="257"/>
      <c r="E1744" s="257"/>
    </row>
    <row r="1745" spans="4:5" s="238" customFormat="1" ht="14.25" x14ac:dyDescent="0.2">
      <c r="D1745" s="257"/>
      <c r="E1745" s="257"/>
    </row>
    <row r="1746" spans="4:5" s="238" customFormat="1" ht="14.25" x14ac:dyDescent="0.2">
      <c r="D1746" s="257"/>
      <c r="E1746" s="257"/>
    </row>
    <row r="1747" spans="4:5" s="238" customFormat="1" ht="14.25" x14ac:dyDescent="0.2">
      <c r="D1747" s="257"/>
      <c r="E1747" s="257"/>
    </row>
    <row r="1748" spans="4:5" s="238" customFormat="1" ht="14.25" x14ac:dyDescent="0.2">
      <c r="D1748" s="257"/>
      <c r="E1748" s="257"/>
    </row>
    <row r="1749" spans="4:5" s="238" customFormat="1" ht="14.25" x14ac:dyDescent="0.2">
      <c r="D1749" s="257"/>
      <c r="E1749" s="257"/>
    </row>
    <row r="1750" spans="4:5" s="238" customFormat="1" ht="14.25" x14ac:dyDescent="0.2">
      <c r="D1750" s="257"/>
      <c r="E1750" s="257"/>
    </row>
    <row r="1751" spans="4:5" s="238" customFormat="1" ht="14.25" x14ac:dyDescent="0.2">
      <c r="D1751" s="257"/>
      <c r="E1751" s="257"/>
    </row>
    <row r="1752" spans="4:5" s="238" customFormat="1" ht="14.25" x14ac:dyDescent="0.2">
      <c r="D1752" s="257"/>
      <c r="E1752" s="257"/>
    </row>
    <row r="1753" spans="4:5" s="238" customFormat="1" ht="14.25" x14ac:dyDescent="0.2">
      <c r="D1753" s="257"/>
      <c r="E1753" s="257"/>
    </row>
    <row r="1754" spans="4:5" s="238" customFormat="1" ht="14.25" x14ac:dyDescent="0.2">
      <c r="D1754" s="257"/>
      <c r="E1754" s="257"/>
    </row>
    <row r="1755" spans="4:5" s="238" customFormat="1" ht="14.25" x14ac:dyDescent="0.2">
      <c r="D1755" s="257"/>
      <c r="E1755" s="257"/>
    </row>
    <row r="1756" spans="4:5" s="238" customFormat="1" ht="14.25" x14ac:dyDescent="0.2">
      <c r="D1756" s="257"/>
      <c r="E1756" s="257"/>
    </row>
    <row r="1757" spans="4:5" s="238" customFormat="1" ht="14.25" x14ac:dyDescent="0.2">
      <c r="D1757" s="257"/>
      <c r="E1757" s="257"/>
    </row>
    <row r="1758" spans="4:5" s="238" customFormat="1" ht="14.25" x14ac:dyDescent="0.2">
      <c r="D1758" s="257"/>
      <c r="E1758" s="257"/>
    </row>
    <row r="1759" spans="4:5" s="238" customFormat="1" ht="14.25" x14ac:dyDescent="0.2">
      <c r="D1759" s="257"/>
      <c r="E1759" s="257"/>
    </row>
    <row r="1760" spans="4:5" s="238" customFormat="1" ht="14.25" x14ac:dyDescent="0.2">
      <c r="D1760" s="257"/>
      <c r="E1760" s="257"/>
    </row>
    <row r="1761" spans="4:5" s="238" customFormat="1" ht="14.25" x14ac:dyDescent="0.2">
      <c r="D1761" s="257"/>
      <c r="E1761" s="257"/>
    </row>
    <row r="1762" spans="4:5" s="238" customFormat="1" ht="14.25" x14ac:dyDescent="0.2">
      <c r="D1762" s="257"/>
      <c r="E1762" s="257"/>
    </row>
    <row r="1763" spans="4:5" s="238" customFormat="1" ht="14.25" x14ac:dyDescent="0.2">
      <c r="D1763" s="257"/>
      <c r="E1763" s="257"/>
    </row>
    <row r="1764" spans="4:5" s="238" customFormat="1" ht="14.25" x14ac:dyDescent="0.2">
      <c r="D1764" s="257"/>
      <c r="E1764" s="257"/>
    </row>
    <row r="1765" spans="4:5" s="238" customFormat="1" ht="14.25" x14ac:dyDescent="0.2">
      <c r="D1765" s="257"/>
      <c r="E1765" s="257"/>
    </row>
    <row r="1766" spans="4:5" s="238" customFormat="1" ht="14.25" x14ac:dyDescent="0.2">
      <c r="D1766" s="257"/>
      <c r="E1766" s="257"/>
    </row>
    <row r="1767" spans="4:5" s="238" customFormat="1" ht="14.25" x14ac:dyDescent="0.2">
      <c r="D1767" s="257"/>
      <c r="E1767" s="257"/>
    </row>
    <row r="1768" spans="4:5" s="238" customFormat="1" ht="14.25" x14ac:dyDescent="0.2">
      <c r="D1768" s="257"/>
      <c r="E1768" s="257"/>
    </row>
    <row r="1769" spans="4:5" s="238" customFormat="1" ht="14.25" x14ac:dyDescent="0.2">
      <c r="D1769" s="257"/>
      <c r="E1769" s="257"/>
    </row>
    <row r="1770" spans="4:5" s="238" customFormat="1" ht="14.25" x14ac:dyDescent="0.2">
      <c r="D1770" s="257"/>
      <c r="E1770" s="257"/>
    </row>
    <row r="1771" spans="4:5" s="238" customFormat="1" ht="14.25" x14ac:dyDescent="0.2">
      <c r="D1771" s="257"/>
      <c r="E1771" s="257"/>
    </row>
    <row r="1772" spans="4:5" s="238" customFormat="1" ht="14.25" x14ac:dyDescent="0.2">
      <c r="D1772" s="257"/>
      <c r="E1772" s="257"/>
    </row>
    <row r="1773" spans="4:5" s="238" customFormat="1" ht="14.25" x14ac:dyDescent="0.2">
      <c r="D1773" s="257"/>
      <c r="E1773" s="257"/>
    </row>
    <row r="1774" spans="4:5" s="238" customFormat="1" ht="14.25" x14ac:dyDescent="0.2">
      <c r="D1774" s="257"/>
      <c r="E1774" s="257"/>
    </row>
    <row r="1775" spans="4:5" s="238" customFormat="1" ht="14.25" x14ac:dyDescent="0.2">
      <c r="D1775" s="257"/>
      <c r="E1775" s="257"/>
    </row>
    <row r="1776" spans="4:5" s="238" customFormat="1" ht="14.25" x14ac:dyDescent="0.2">
      <c r="D1776" s="257"/>
      <c r="E1776" s="257"/>
    </row>
    <row r="1777" spans="4:5" s="238" customFormat="1" ht="14.25" x14ac:dyDescent="0.2">
      <c r="D1777" s="257"/>
      <c r="E1777" s="257"/>
    </row>
    <row r="1778" spans="4:5" s="238" customFormat="1" ht="14.25" x14ac:dyDescent="0.2">
      <c r="D1778" s="257"/>
      <c r="E1778" s="257"/>
    </row>
    <row r="1779" spans="4:5" s="238" customFormat="1" ht="14.25" x14ac:dyDescent="0.2">
      <c r="D1779" s="257"/>
      <c r="E1779" s="257"/>
    </row>
    <row r="1780" spans="4:5" s="238" customFormat="1" ht="14.25" x14ac:dyDescent="0.2">
      <c r="D1780" s="257"/>
      <c r="E1780" s="257"/>
    </row>
    <row r="1781" spans="4:5" s="238" customFormat="1" ht="14.25" x14ac:dyDescent="0.2">
      <c r="D1781" s="257"/>
      <c r="E1781" s="257"/>
    </row>
    <row r="1782" spans="4:5" s="238" customFormat="1" ht="14.25" x14ac:dyDescent="0.2">
      <c r="D1782" s="257"/>
      <c r="E1782" s="257"/>
    </row>
    <row r="1783" spans="4:5" s="238" customFormat="1" ht="14.25" x14ac:dyDescent="0.2">
      <c r="D1783" s="257"/>
      <c r="E1783" s="257"/>
    </row>
    <row r="1784" spans="4:5" s="238" customFormat="1" ht="14.25" x14ac:dyDescent="0.2">
      <c r="D1784" s="257"/>
      <c r="E1784" s="257"/>
    </row>
    <row r="1785" spans="4:5" s="238" customFormat="1" ht="14.25" x14ac:dyDescent="0.2">
      <c r="D1785" s="257"/>
      <c r="E1785" s="257"/>
    </row>
    <row r="1786" spans="4:5" s="238" customFormat="1" ht="14.25" x14ac:dyDescent="0.2">
      <c r="D1786" s="257"/>
      <c r="E1786" s="257"/>
    </row>
    <row r="1787" spans="4:5" s="238" customFormat="1" ht="14.25" x14ac:dyDescent="0.2">
      <c r="D1787" s="257"/>
      <c r="E1787" s="257"/>
    </row>
    <row r="1788" spans="4:5" s="238" customFormat="1" ht="14.25" x14ac:dyDescent="0.2">
      <c r="D1788" s="257"/>
      <c r="E1788" s="257"/>
    </row>
    <row r="1789" spans="4:5" s="238" customFormat="1" ht="14.25" x14ac:dyDescent="0.2">
      <c r="D1789" s="257"/>
      <c r="E1789" s="257"/>
    </row>
    <row r="1790" spans="4:5" s="238" customFormat="1" ht="14.25" x14ac:dyDescent="0.2">
      <c r="D1790" s="257"/>
      <c r="E1790" s="257"/>
    </row>
    <row r="1791" spans="4:5" s="238" customFormat="1" ht="14.25" x14ac:dyDescent="0.2">
      <c r="D1791" s="257"/>
      <c r="E1791" s="257"/>
    </row>
    <row r="1792" spans="4:5" s="238" customFormat="1" ht="14.25" x14ac:dyDescent="0.2">
      <c r="D1792" s="257"/>
      <c r="E1792" s="257"/>
    </row>
    <row r="1793" spans="4:5" s="238" customFormat="1" ht="14.25" x14ac:dyDescent="0.2">
      <c r="D1793" s="257"/>
      <c r="E1793" s="257"/>
    </row>
    <row r="1794" spans="4:5" s="238" customFormat="1" ht="14.25" x14ac:dyDescent="0.2">
      <c r="D1794" s="257"/>
      <c r="E1794" s="257"/>
    </row>
    <row r="1795" spans="4:5" s="238" customFormat="1" ht="14.25" x14ac:dyDescent="0.2">
      <c r="D1795" s="257"/>
      <c r="E1795" s="257"/>
    </row>
    <row r="1796" spans="4:5" s="238" customFormat="1" ht="14.25" x14ac:dyDescent="0.2">
      <c r="D1796" s="257"/>
      <c r="E1796" s="257"/>
    </row>
    <row r="1797" spans="4:5" s="238" customFormat="1" ht="14.25" x14ac:dyDescent="0.2">
      <c r="D1797" s="257"/>
      <c r="E1797" s="257"/>
    </row>
    <row r="1798" spans="4:5" s="238" customFormat="1" ht="14.25" x14ac:dyDescent="0.2">
      <c r="D1798" s="257"/>
      <c r="E1798" s="257"/>
    </row>
    <row r="1799" spans="4:5" s="238" customFormat="1" ht="14.25" x14ac:dyDescent="0.2">
      <c r="D1799" s="257"/>
      <c r="E1799" s="257"/>
    </row>
    <row r="1800" spans="4:5" s="238" customFormat="1" ht="14.25" x14ac:dyDescent="0.2">
      <c r="D1800" s="257"/>
      <c r="E1800" s="257"/>
    </row>
    <row r="1801" spans="4:5" s="238" customFormat="1" ht="14.25" x14ac:dyDescent="0.2">
      <c r="D1801" s="257"/>
      <c r="E1801" s="257"/>
    </row>
    <row r="1802" spans="4:5" s="238" customFormat="1" ht="14.25" x14ac:dyDescent="0.2">
      <c r="D1802" s="257"/>
      <c r="E1802" s="257"/>
    </row>
    <row r="1803" spans="4:5" s="238" customFormat="1" ht="14.25" x14ac:dyDescent="0.2">
      <c r="D1803" s="257"/>
      <c r="E1803" s="257"/>
    </row>
    <row r="1804" spans="4:5" s="238" customFormat="1" ht="14.25" x14ac:dyDescent="0.2">
      <c r="D1804" s="257"/>
      <c r="E1804" s="257"/>
    </row>
    <row r="1805" spans="4:5" s="238" customFormat="1" ht="14.25" x14ac:dyDescent="0.2">
      <c r="D1805" s="257"/>
      <c r="E1805" s="257"/>
    </row>
    <row r="1806" spans="4:5" s="238" customFormat="1" ht="14.25" x14ac:dyDescent="0.2">
      <c r="D1806" s="257"/>
      <c r="E1806" s="257"/>
    </row>
    <row r="1807" spans="4:5" s="238" customFormat="1" ht="14.25" x14ac:dyDescent="0.2">
      <c r="D1807" s="257"/>
      <c r="E1807" s="257"/>
    </row>
    <row r="1808" spans="4:5" s="238" customFormat="1" ht="14.25" x14ac:dyDescent="0.2">
      <c r="D1808" s="257"/>
      <c r="E1808" s="257"/>
    </row>
    <row r="1809" spans="4:5" s="238" customFormat="1" ht="14.25" x14ac:dyDescent="0.2">
      <c r="D1809" s="257"/>
      <c r="E1809" s="257"/>
    </row>
    <row r="1810" spans="4:5" s="238" customFormat="1" ht="14.25" x14ac:dyDescent="0.2">
      <c r="D1810" s="257"/>
      <c r="E1810" s="257"/>
    </row>
    <row r="1811" spans="4:5" s="238" customFormat="1" ht="14.25" x14ac:dyDescent="0.2">
      <c r="D1811" s="257"/>
      <c r="E1811" s="257"/>
    </row>
    <row r="1812" spans="4:5" s="238" customFormat="1" ht="14.25" x14ac:dyDescent="0.2">
      <c r="D1812" s="257"/>
      <c r="E1812" s="257"/>
    </row>
    <row r="1813" spans="4:5" s="238" customFormat="1" ht="14.25" x14ac:dyDescent="0.2">
      <c r="D1813" s="257"/>
      <c r="E1813" s="257"/>
    </row>
    <row r="1814" spans="4:5" s="238" customFormat="1" ht="14.25" x14ac:dyDescent="0.2">
      <c r="D1814" s="257"/>
      <c r="E1814" s="257"/>
    </row>
    <row r="1815" spans="4:5" s="238" customFormat="1" ht="14.25" x14ac:dyDescent="0.2">
      <c r="D1815" s="257"/>
      <c r="E1815" s="257"/>
    </row>
    <row r="1816" spans="4:5" s="238" customFormat="1" ht="14.25" x14ac:dyDescent="0.2">
      <c r="D1816" s="257"/>
      <c r="E1816" s="257"/>
    </row>
    <row r="1817" spans="4:5" s="238" customFormat="1" ht="14.25" x14ac:dyDescent="0.2">
      <c r="D1817" s="257"/>
      <c r="E1817" s="257"/>
    </row>
    <row r="1818" spans="4:5" s="238" customFormat="1" ht="14.25" x14ac:dyDescent="0.2">
      <c r="D1818" s="257"/>
      <c r="E1818" s="257"/>
    </row>
    <row r="1819" spans="4:5" s="238" customFormat="1" ht="14.25" x14ac:dyDescent="0.2">
      <c r="D1819" s="257"/>
      <c r="E1819" s="257"/>
    </row>
    <row r="1820" spans="4:5" s="238" customFormat="1" ht="14.25" x14ac:dyDescent="0.2">
      <c r="D1820" s="257"/>
      <c r="E1820" s="257"/>
    </row>
    <row r="1821" spans="4:5" s="238" customFormat="1" ht="14.25" x14ac:dyDescent="0.2">
      <c r="D1821" s="257"/>
      <c r="E1821" s="257"/>
    </row>
    <row r="1822" spans="4:5" s="238" customFormat="1" ht="14.25" x14ac:dyDescent="0.2">
      <c r="D1822" s="257"/>
      <c r="E1822" s="257"/>
    </row>
    <row r="1823" spans="4:5" s="238" customFormat="1" ht="14.25" x14ac:dyDescent="0.2">
      <c r="D1823" s="257"/>
      <c r="E1823" s="257"/>
    </row>
    <row r="1824" spans="4:5" s="238" customFormat="1" ht="14.25" x14ac:dyDescent="0.2">
      <c r="D1824" s="257"/>
      <c r="E1824" s="257"/>
    </row>
    <row r="1825" spans="4:5" s="238" customFormat="1" ht="14.25" x14ac:dyDescent="0.2">
      <c r="D1825" s="257"/>
      <c r="E1825" s="257"/>
    </row>
    <row r="1826" spans="4:5" s="238" customFormat="1" ht="14.25" x14ac:dyDescent="0.2">
      <c r="D1826" s="257"/>
      <c r="E1826" s="257"/>
    </row>
    <row r="1827" spans="4:5" s="238" customFormat="1" ht="14.25" x14ac:dyDescent="0.2">
      <c r="D1827" s="257"/>
      <c r="E1827" s="257"/>
    </row>
    <row r="1828" spans="4:5" s="238" customFormat="1" ht="14.25" x14ac:dyDescent="0.2">
      <c r="D1828" s="257"/>
      <c r="E1828" s="257"/>
    </row>
    <row r="1829" spans="4:5" s="238" customFormat="1" ht="14.25" x14ac:dyDescent="0.2">
      <c r="D1829" s="257"/>
      <c r="E1829" s="257"/>
    </row>
    <row r="1830" spans="4:5" s="238" customFormat="1" ht="14.25" x14ac:dyDescent="0.2">
      <c r="D1830" s="257"/>
      <c r="E1830" s="257"/>
    </row>
    <row r="1831" spans="4:5" s="238" customFormat="1" ht="14.25" x14ac:dyDescent="0.2">
      <c r="D1831" s="257"/>
      <c r="E1831" s="257"/>
    </row>
    <row r="1832" spans="4:5" s="238" customFormat="1" ht="14.25" x14ac:dyDescent="0.2">
      <c r="D1832" s="257"/>
      <c r="E1832" s="257"/>
    </row>
    <row r="1833" spans="4:5" s="238" customFormat="1" ht="14.25" x14ac:dyDescent="0.2">
      <c r="D1833" s="257"/>
      <c r="E1833" s="257"/>
    </row>
    <row r="1834" spans="4:5" s="238" customFormat="1" ht="14.25" x14ac:dyDescent="0.2">
      <c r="D1834" s="257"/>
      <c r="E1834" s="257"/>
    </row>
    <row r="1835" spans="4:5" s="238" customFormat="1" ht="14.25" x14ac:dyDescent="0.2">
      <c r="D1835" s="257"/>
      <c r="E1835" s="257"/>
    </row>
    <row r="1836" spans="4:5" s="238" customFormat="1" ht="14.25" x14ac:dyDescent="0.2">
      <c r="D1836" s="257"/>
      <c r="E1836" s="257"/>
    </row>
    <row r="1837" spans="4:5" s="238" customFormat="1" ht="14.25" x14ac:dyDescent="0.2">
      <c r="D1837" s="257"/>
      <c r="E1837" s="257"/>
    </row>
    <row r="1838" spans="4:5" s="238" customFormat="1" ht="14.25" x14ac:dyDescent="0.2">
      <c r="D1838" s="257"/>
      <c r="E1838" s="257"/>
    </row>
    <row r="1839" spans="4:5" s="238" customFormat="1" ht="14.25" x14ac:dyDescent="0.2">
      <c r="D1839" s="257"/>
      <c r="E1839" s="257"/>
    </row>
    <row r="1840" spans="4:5" s="238" customFormat="1" ht="14.25" x14ac:dyDescent="0.2">
      <c r="D1840" s="257"/>
      <c r="E1840" s="257"/>
    </row>
    <row r="1841" spans="4:5" s="238" customFormat="1" ht="14.25" x14ac:dyDescent="0.2">
      <c r="D1841" s="257"/>
      <c r="E1841" s="257"/>
    </row>
    <row r="1842" spans="4:5" s="238" customFormat="1" ht="14.25" x14ac:dyDescent="0.2">
      <c r="D1842" s="257"/>
      <c r="E1842" s="257"/>
    </row>
    <row r="1843" spans="4:5" s="238" customFormat="1" ht="14.25" x14ac:dyDescent="0.2">
      <c r="D1843" s="257"/>
      <c r="E1843" s="257"/>
    </row>
    <row r="1844" spans="4:5" s="238" customFormat="1" ht="14.25" x14ac:dyDescent="0.2">
      <c r="D1844" s="257"/>
      <c r="E1844" s="257"/>
    </row>
    <row r="1845" spans="4:5" s="238" customFormat="1" ht="14.25" x14ac:dyDescent="0.2">
      <c r="D1845" s="257"/>
      <c r="E1845" s="257"/>
    </row>
    <row r="1846" spans="4:5" s="238" customFormat="1" ht="14.25" x14ac:dyDescent="0.2">
      <c r="D1846" s="257"/>
      <c r="E1846" s="257"/>
    </row>
    <row r="1847" spans="4:5" s="238" customFormat="1" ht="14.25" x14ac:dyDescent="0.2">
      <c r="D1847" s="257"/>
      <c r="E1847" s="257"/>
    </row>
    <row r="1848" spans="4:5" s="238" customFormat="1" ht="14.25" x14ac:dyDescent="0.2">
      <c r="D1848" s="257"/>
      <c r="E1848" s="257"/>
    </row>
    <row r="1849" spans="4:5" s="238" customFormat="1" ht="14.25" x14ac:dyDescent="0.2">
      <c r="D1849" s="257"/>
      <c r="E1849" s="257"/>
    </row>
    <row r="1850" spans="4:5" s="238" customFormat="1" ht="14.25" x14ac:dyDescent="0.2">
      <c r="D1850" s="257"/>
      <c r="E1850" s="257"/>
    </row>
    <row r="1851" spans="4:5" s="238" customFormat="1" ht="14.25" x14ac:dyDescent="0.2">
      <c r="D1851" s="257"/>
      <c r="E1851" s="257"/>
    </row>
    <row r="1852" spans="4:5" s="238" customFormat="1" ht="14.25" x14ac:dyDescent="0.2">
      <c r="D1852" s="257"/>
      <c r="E1852" s="257"/>
    </row>
    <row r="1853" spans="4:5" s="238" customFormat="1" ht="14.25" x14ac:dyDescent="0.2">
      <c r="D1853" s="257"/>
      <c r="E1853" s="257"/>
    </row>
    <row r="1854" spans="4:5" s="238" customFormat="1" ht="14.25" x14ac:dyDescent="0.2">
      <c r="D1854" s="257"/>
      <c r="E1854" s="257"/>
    </row>
    <row r="1855" spans="4:5" s="238" customFormat="1" ht="14.25" x14ac:dyDescent="0.2">
      <c r="D1855" s="257"/>
      <c r="E1855" s="257"/>
    </row>
    <row r="1856" spans="4:5" s="238" customFormat="1" ht="14.25" x14ac:dyDescent="0.2">
      <c r="D1856" s="257"/>
      <c r="E1856" s="257"/>
    </row>
    <row r="1857" spans="4:5" s="238" customFormat="1" ht="14.25" x14ac:dyDescent="0.2">
      <c r="D1857" s="257"/>
      <c r="E1857" s="257"/>
    </row>
    <row r="1858" spans="4:5" s="238" customFormat="1" ht="14.25" x14ac:dyDescent="0.2">
      <c r="D1858" s="257"/>
      <c r="E1858" s="257"/>
    </row>
    <row r="1859" spans="4:5" s="238" customFormat="1" ht="14.25" x14ac:dyDescent="0.2">
      <c r="D1859" s="257"/>
      <c r="E1859" s="257"/>
    </row>
    <row r="1860" spans="4:5" s="238" customFormat="1" ht="14.25" x14ac:dyDescent="0.2">
      <c r="D1860" s="257"/>
      <c r="E1860" s="257"/>
    </row>
    <row r="1861" spans="4:5" s="238" customFormat="1" ht="14.25" x14ac:dyDescent="0.2">
      <c r="D1861" s="257"/>
      <c r="E1861" s="257"/>
    </row>
    <row r="1862" spans="4:5" s="238" customFormat="1" ht="14.25" x14ac:dyDescent="0.2">
      <c r="D1862" s="257"/>
      <c r="E1862" s="257"/>
    </row>
    <row r="1863" spans="4:5" s="238" customFormat="1" ht="14.25" x14ac:dyDescent="0.2">
      <c r="D1863" s="257"/>
      <c r="E1863" s="257"/>
    </row>
    <row r="1864" spans="4:5" s="238" customFormat="1" ht="14.25" x14ac:dyDescent="0.2">
      <c r="D1864" s="257"/>
      <c r="E1864" s="257"/>
    </row>
    <row r="1865" spans="4:5" s="238" customFormat="1" ht="14.25" x14ac:dyDescent="0.2">
      <c r="D1865" s="257"/>
      <c r="E1865" s="257"/>
    </row>
    <row r="1866" spans="4:5" s="238" customFormat="1" ht="14.25" x14ac:dyDescent="0.2">
      <c r="D1866" s="257"/>
      <c r="E1866" s="257"/>
    </row>
    <row r="1867" spans="4:5" s="238" customFormat="1" ht="14.25" x14ac:dyDescent="0.2">
      <c r="D1867" s="257"/>
      <c r="E1867" s="257"/>
    </row>
    <row r="1868" spans="4:5" s="238" customFormat="1" ht="14.25" x14ac:dyDescent="0.2">
      <c r="D1868" s="257"/>
      <c r="E1868" s="257"/>
    </row>
    <row r="1869" spans="4:5" s="238" customFormat="1" ht="14.25" x14ac:dyDescent="0.2">
      <c r="D1869" s="257"/>
      <c r="E1869" s="257"/>
    </row>
    <row r="1870" spans="4:5" s="238" customFormat="1" ht="14.25" x14ac:dyDescent="0.2">
      <c r="D1870" s="257"/>
      <c r="E1870" s="257"/>
    </row>
    <row r="1871" spans="4:5" s="238" customFormat="1" ht="14.25" x14ac:dyDescent="0.2">
      <c r="D1871" s="257"/>
      <c r="E1871" s="257"/>
    </row>
    <row r="1872" spans="4:5" s="238" customFormat="1" ht="14.25" x14ac:dyDescent="0.2">
      <c r="D1872" s="257"/>
      <c r="E1872" s="257"/>
    </row>
    <row r="1873" spans="4:5" s="238" customFormat="1" ht="14.25" x14ac:dyDescent="0.2">
      <c r="D1873" s="257"/>
      <c r="E1873" s="257"/>
    </row>
    <row r="1874" spans="4:5" s="238" customFormat="1" ht="14.25" x14ac:dyDescent="0.2">
      <c r="D1874" s="257"/>
      <c r="E1874" s="257"/>
    </row>
    <row r="1875" spans="4:5" s="238" customFormat="1" ht="14.25" x14ac:dyDescent="0.2">
      <c r="D1875" s="257"/>
      <c r="E1875" s="257"/>
    </row>
    <row r="1876" spans="4:5" s="238" customFormat="1" ht="14.25" x14ac:dyDescent="0.2">
      <c r="D1876" s="257"/>
      <c r="E1876" s="257"/>
    </row>
    <row r="1877" spans="4:5" s="238" customFormat="1" ht="14.25" x14ac:dyDescent="0.2">
      <c r="D1877" s="257"/>
      <c r="E1877" s="257"/>
    </row>
    <row r="1878" spans="4:5" s="238" customFormat="1" ht="14.25" x14ac:dyDescent="0.2">
      <c r="D1878" s="257"/>
      <c r="E1878" s="257"/>
    </row>
    <row r="1879" spans="4:5" s="238" customFormat="1" ht="14.25" x14ac:dyDescent="0.2">
      <c r="D1879" s="257"/>
      <c r="E1879" s="257"/>
    </row>
    <row r="1880" spans="4:5" s="238" customFormat="1" ht="14.25" x14ac:dyDescent="0.2">
      <c r="D1880" s="257"/>
      <c r="E1880" s="257"/>
    </row>
    <row r="1881" spans="4:5" s="238" customFormat="1" ht="14.25" x14ac:dyDescent="0.2">
      <c r="D1881" s="257"/>
      <c r="E1881" s="257"/>
    </row>
    <row r="1882" spans="4:5" s="238" customFormat="1" ht="14.25" x14ac:dyDescent="0.2">
      <c r="D1882" s="257"/>
      <c r="E1882" s="257"/>
    </row>
    <row r="1883" spans="4:5" s="238" customFormat="1" ht="14.25" x14ac:dyDescent="0.2">
      <c r="D1883" s="257"/>
      <c r="E1883" s="257"/>
    </row>
    <row r="1884" spans="4:5" s="238" customFormat="1" ht="14.25" x14ac:dyDescent="0.2">
      <c r="D1884" s="257"/>
      <c r="E1884" s="257"/>
    </row>
    <row r="1885" spans="4:5" s="238" customFormat="1" ht="14.25" x14ac:dyDescent="0.2">
      <c r="D1885" s="257"/>
      <c r="E1885" s="257"/>
    </row>
    <row r="1886" spans="4:5" s="238" customFormat="1" ht="14.25" x14ac:dyDescent="0.2">
      <c r="D1886" s="257"/>
      <c r="E1886" s="257"/>
    </row>
    <row r="1887" spans="4:5" s="238" customFormat="1" ht="14.25" x14ac:dyDescent="0.2">
      <c r="D1887" s="257"/>
      <c r="E1887" s="257"/>
    </row>
    <row r="1888" spans="4:5" s="238" customFormat="1" ht="14.25" x14ac:dyDescent="0.2">
      <c r="D1888" s="257"/>
      <c r="E1888" s="257"/>
    </row>
    <row r="1889" spans="4:5" s="238" customFormat="1" ht="14.25" x14ac:dyDescent="0.2">
      <c r="D1889" s="257"/>
      <c r="E1889" s="257"/>
    </row>
    <row r="1890" spans="4:5" s="238" customFormat="1" ht="14.25" x14ac:dyDescent="0.2">
      <c r="D1890" s="257"/>
      <c r="E1890" s="257"/>
    </row>
    <row r="1891" spans="4:5" s="238" customFormat="1" ht="14.25" x14ac:dyDescent="0.2">
      <c r="D1891" s="257"/>
      <c r="E1891" s="257"/>
    </row>
    <row r="1892" spans="4:5" s="238" customFormat="1" ht="14.25" x14ac:dyDescent="0.2">
      <c r="D1892" s="257"/>
      <c r="E1892" s="257"/>
    </row>
    <row r="1893" spans="4:5" s="238" customFormat="1" ht="14.25" x14ac:dyDescent="0.2">
      <c r="D1893" s="257"/>
      <c r="E1893" s="257"/>
    </row>
    <row r="1894" spans="4:5" s="238" customFormat="1" ht="14.25" x14ac:dyDescent="0.2">
      <c r="D1894" s="257"/>
      <c r="E1894" s="257"/>
    </row>
    <row r="1895" spans="4:5" s="238" customFormat="1" ht="14.25" x14ac:dyDescent="0.2">
      <c r="D1895" s="257"/>
      <c r="E1895" s="257"/>
    </row>
    <row r="1896" spans="4:5" s="238" customFormat="1" ht="14.25" x14ac:dyDescent="0.2">
      <c r="D1896" s="257"/>
      <c r="E1896" s="257"/>
    </row>
    <row r="1897" spans="4:5" s="238" customFormat="1" ht="14.25" x14ac:dyDescent="0.2">
      <c r="D1897" s="257"/>
      <c r="E1897" s="257"/>
    </row>
    <row r="1898" spans="4:5" s="238" customFormat="1" ht="14.25" x14ac:dyDescent="0.2">
      <c r="D1898" s="257"/>
      <c r="E1898" s="257"/>
    </row>
    <row r="1899" spans="4:5" s="238" customFormat="1" ht="14.25" x14ac:dyDescent="0.2">
      <c r="D1899" s="257"/>
      <c r="E1899" s="257"/>
    </row>
    <row r="1900" spans="4:5" s="238" customFormat="1" ht="14.25" x14ac:dyDescent="0.2">
      <c r="D1900" s="257"/>
      <c r="E1900" s="257"/>
    </row>
    <row r="1901" spans="4:5" s="238" customFormat="1" ht="14.25" x14ac:dyDescent="0.2">
      <c r="D1901" s="257"/>
      <c r="E1901" s="257"/>
    </row>
    <row r="1902" spans="4:5" s="238" customFormat="1" ht="14.25" x14ac:dyDescent="0.2">
      <c r="D1902" s="257"/>
      <c r="E1902" s="257"/>
    </row>
    <row r="1903" spans="4:5" s="238" customFormat="1" ht="14.25" x14ac:dyDescent="0.2">
      <c r="D1903" s="257"/>
      <c r="E1903" s="257"/>
    </row>
    <row r="1904" spans="4:5" s="238" customFormat="1" ht="14.25" x14ac:dyDescent="0.2">
      <c r="D1904" s="257"/>
      <c r="E1904" s="257"/>
    </row>
    <row r="1905" spans="4:5" s="238" customFormat="1" ht="14.25" x14ac:dyDescent="0.2">
      <c r="D1905" s="257"/>
      <c r="E1905" s="257"/>
    </row>
    <row r="1906" spans="4:5" s="238" customFormat="1" ht="14.25" x14ac:dyDescent="0.2">
      <c r="D1906" s="257"/>
      <c r="E1906" s="257"/>
    </row>
    <row r="1907" spans="4:5" s="238" customFormat="1" ht="14.25" x14ac:dyDescent="0.2">
      <c r="D1907" s="257"/>
      <c r="E1907" s="257"/>
    </row>
    <row r="1908" spans="4:5" s="238" customFormat="1" ht="14.25" x14ac:dyDescent="0.2">
      <c r="D1908" s="257"/>
      <c r="E1908" s="257"/>
    </row>
    <row r="1909" spans="4:5" s="238" customFormat="1" ht="14.25" x14ac:dyDescent="0.2">
      <c r="D1909" s="257"/>
      <c r="E1909" s="257"/>
    </row>
    <row r="1910" spans="4:5" s="238" customFormat="1" ht="14.25" x14ac:dyDescent="0.2">
      <c r="D1910" s="257"/>
      <c r="E1910" s="257"/>
    </row>
    <row r="1911" spans="4:5" s="238" customFormat="1" ht="14.25" x14ac:dyDescent="0.2">
      <c r="D1911" s="257"/>
      <c r="E1911" s="257"/>
    </row>
    <row r="1912" spans="4:5" s="238" customFormat="1" ht="14.25" x14ac:dyDescent="0.2">
      <c r="D1912" s="257"/>
      <c r="E1912" s="257"/>
    </row>
    <row r="1913" spans="4:5" s="238" customFormat="1" ht="14.25" x14ac:dyDescent="0.2">
      <c r="D1913" s="257"/>
      <c r="E1913" s="257"/>
    </row>
    <row r="1914" spans="4:5" s="238" customFormat="1" ht="14.25" x14ac:dyDescent="0.2">
      <c r="D1914" s="257"/>
      <c r="E1914" s="257"/>
    </row>
    <row r="1915" spans="4:5" s="238" customFormat="1" ht="14.25" x14ac:dyDescent="0.2">
      <c r="D1915" s="257"/>
      <c r="E1915" s="257"/>
    </row>
    <row r="1916" spans="4:5" s="238" customFormat="1" ht="14.25" x14ac:dyDescent="0.2">
      <c r="D1916" s="257"/>
      <c r="E1916" s="257"/>
    </row>
    <row r="1917" spans="4:5" s="238" customFormat="1" ht="14.25" x14ac:dyDescent="0.2">
      <c r="D1917" s="257"/>
      <c r="E1917" s="257"/>
    </row>
    <row r="1918" spans="4:5" s="238" customFormat="1" ht="14.25" x14ac:dyDescent="0.2">
      <c r="D1918" s="257"/>
      <c r="E1918" s="257"/>
    </row>
    <row r="1919" spans="4:5" s="238" customFormat="1" ht="14.25" x14ac:dyDescent="0.2">
      <c r="D1919" s="257"/>
      <c r="E1919" s="257"/>
    </row>
    <row r="1920" spans="4:5" s="238" customFormat="1" ht="14.25" x14ac:dyDescent="0.2">
      <c r="D1920" s="257"/>
      <c r="E1920" s="257"/>
    </row>
    <row r="1921" spans="4:5" s="238" customFormat="1" ht="14.25" x14ac:dyDescent="0.2">
      <c r="D1921" s="257"/>
      <c r="E1921" s="257"/>
    </row>
    <row r="1922" spans="4:5" s="238" customFormat="1" ht="14.25" x14ac:dyDescent="0.2">
      <c r="D1922" s="257"/>
      <c r="E1922" s="257"/>
    </row>
    <row r="1923" spans="4:5" s="238" customFormat="1" ht="14.25" x14ac:dyDescent="0.2">
      <c r="D1923" s="257"/>
      <c r="E1923" s="257"/>
    </row>
    <row r="1924" spans="4:5" s="238" customFormat="1" ht="14.25" x14ac:dyDescent="0.2">
      <c r="D1924" s="257"/>
      <c r="E1924" s="257"/>
    </row>
    <row r="1925" spans="4:5" s="238" customFormat="1" ht="14.25" x14ac:dyDescent="0.2">
      <c r="D1925" s="257"/>
      <c r="E1925" s="257"/>
    </row>
    <row r="1926" spans="4:5" s="238" customFormat="1" ht="14.25" x14ac:dyDescent="0.2">
      <c r="D1926" s="257"/>
      <c r="E1926" s="257"/>
    </row>
    <row r="1927" spans="4:5" s="238" customFormat="1" ht="14.25" x14ac:dyDescent="0.2">
      <c r="D1927" s="257"/>
      <c r="E1927" s="257"/>
    </row>
    <row r="1928" spans="4:5" s="238" customFormat="1" ht="14.25" x14ac:dyDescent="0.2">
      <c r="D1928" s="257"/>
      <c r="E1928" s="257"/>
    </row>
    <row r="1929" spans="4:5" s="238" customFormat="1" ht="14.25" x14ac:dyDescent="0.2">
      <c r="D1929" s="257"/>
      <c r="E1929" s="257"/>
    </row>
    <row r="1930" spans="4:5" s="238" customFormat="1" ht="14.25" x14ac:dyDescent="0.2">
      <c r="D1930" s="257"/>
      <c r="E1930" s="257"/>
    </row>
    <row r="1931" spans="4:5" s="238" customFormat="1" ht="14.25" x14ac:dyDescent="0.2">
      <c r="D1931" s="257"/>
      <c r="E1931" s="257"/>
    </row>
    <row r="1932" spans="4:5" s="238" customFormat="1" ht="14.25" x14ac:dyDescent="0.2">
      <c r="D1932" s="257"/>
      <c r="E1932" s="257"/>
    </row>
    <row r="1933" spans="4:5" s="238" customFormat="1" ht="14.25" x14ac:dyDescent="0.2">
      <c r="D1933" s="257"/>
      <c r="E1933" s="257"/>
    </row>
    <row r="1934" spans="4:5" s="238" customFormat="1" ht="14.25" x14ac:dyDescent="0.2">
      <c r="D1934" s="257"/>
      <c r="E1934" s="257"/>
    </row>
    <row r="1935" spans="4:5" s="238" customFormat="1" ht="14.25" x14ac:dyDescent="0.2">
      <c r="D1935" s="257"/>
      <c r="E1935" s="257"/>
    </row>
    <row r="1936" spans="4:5" s="238" customFormat="1" ht="14.25" x14ac:dyDescent="0.2">
      <c r="D1936" s="257"/>
      <c r="E1936" s="257"/>
    </row>
    <row r="1937" spans="4:5" s="238" customFormat="1" ht="14.25" x14ac:dyDescent="0.2">
      <c r="D1937" s="257"/>
      <c r="E1937" s="257"/>
    </row>
    <row r="1938" spans="4:5" s="238" customFormat="1" ht="14.25" x14ac:dyDescent="0.2">
      <c r="D1938" s="257"/>
      <c r="E1938" s="257"/>
    </row>
    <row r="1939" spans="4:5" s="238" customFormat="1" ht="14.25" x14ac:dyDescent="0.2">
      <c r="D1939" s="257"/>
      <c r="E1939" s="257"/>
    </row>
    <row r="1940" spans="4:5" s="238" customFormat="1" ht="14.25" x14ac:dyDescent="0.2">
      <c r="D1940" s="257"/>
      <c r="E1940" s="257"/>
    </row>
    <row r="1941" spans="4:5" s="238" customFormat="1" ht="14.25" x14ac:dyDescent="0.2">
      <c r="D1941" s="257"/>
      <c r="E1941" s="257"/>
    </row>
    <row r="1942" spans="4:5" s="238" customFormat="1" ht="14.25" x14ac:dyDescent="0.2">
      <c r="D1942" s="257"/>
      <c r="E1942" s="257"/>
    </row>
    <row r="1943" spans="4:5" s="238" customFormat="1" ht="14.25" x14ac:dyDescent="0.2">
      <c r="D1943" s="257"/>
      <c r="E1943" s="257"/>
    </row>
    <row r="1944" spans="4:5" s="238" customFormat="1" ht="14.25" x14ac:dyDescent="0.2">
      <c r="D1944" s="257"/>
      <c r="E1944" s="257"/>
    </row>
    <row r="1945" spans="4:5" s="238" customFormat="1" ht="14.25" x14ac:dyDescent="0.2">
      <c r="D1945" s="257"/>
      <c r="E1945" s="257"/>
    </row>
    <row r="1946" spans="4:5" s="238" customFormat="1" ht="14.25" x14ac:dyDescent="0.2">
      <c r="D1946" s="257"/>
      <c r="E1946" s="257"/>
    </row>
    <row r="1947" spans="4:5" s="238" customFormat="1" ht="14.25" x14ac:dyDescent="0.2">
      <c r="D1947" s="257"/>
      <c r="E1947" s="257"/>
    </row>
    <row r="1948" spans="4:5" s="238" customFormat="1" ht="14.25" x14ac:dyDescent="0.2">
      <c r="D1948" s="257"/>
      <c r="E1948" s="257"/>
    </row>
    <row r="1949" spans="4:5" s="238" customFormat="1" ht="14.25" x14ac:dyDescent="0.2">
      <c r="D1949" s="257"/>
      <c r="E1949" s="257"/>
    </row>
    <row r="1950" spans="4:5" s="238" customFormat="1" ht="14.25" x14ac:dyDescent="0.2">
      <c r="D1950" s="257"/>
      <c r="E1950" s="257"/>
    </row>
    <row r="1951" spans="4:5" s="238" customFormat="1" ht="14.25" x14ac:dyDescent="0.2">
      <c r="D1951" s="257"/>
      <c r="E1951" s="257"/>
    </row>
    <row r="1952" spans="4:5" s="238" customFormat="1" ht="14.25" x14ac:dyDescent="0.2">
      <c r="D1952" s="257"/>
      <c r="E1952" s="257"/>
    </row>
    <row r="1953" spans="4:5" s="238" customFormat="1" ht="14.25" x14ac:dyDescent="0.2">
      <c r="D1953" s="257"/>
      <c r="E1953" s="257"/>
    </row>
    <row r="1954" spans="4:5" s="238" customFormat="1" ht="14.25" x14ac:dyDescent="0.2">
      <c r="D1954" s="257"/>
      <c r="E1954" s="257"/>
    </row>
    <row r="1955" spans="4:5" s="238" customFormat="1" ht="14.25" x14ac:dyDescent="0.2">
      <c r="D1955" s="257"/>
      <c r="E1955" s="257"/>
    </row>
    <row r="1956" spans="4:5" s="238" customFormat="1" ht="14.25" x14ac:dyDescent="0.2">
      <c r="D1956" s="257"/>
      <c r="E1956" s="257"/>
    </row>
    <row r="1957" spans="4:5" s="238" customFormat="1" ht="14.25" x14ac:dyDescent="0.2">
      <c r="D1957" s="257"/>
      <c r="E1957" s="257"/>
    </row>
    <row r="1958" spans="4:5" s="238" customFormat="1" ht="14.25" x14ac:dyDescent="0.2">
      <c r="D1958" s="257"/>
      <c r="E1958" s="257"/>
    </row>
    <row r="1959" spans="4:5" s="238" customFormat="1" ht="14.25" x14ac:dyDescent="0.2">
      <c r="D1959" s="257"/>
      <c r="E1959" s="257"/>
    </row>
    <row r="1960" spans="4:5" s="238" customFormat="1" ht="14.25" x14ac:dyDescent="0.2">
      <c r="D1960" s="257"/>
      <c r="E1960" s="257"/>
    </row>
    <row r="1961" spans="4:5" s="238" customFormat="1" ht="14.25" x14ac:dyDescent="0.2">
      <c r="D1961" s="257"/>
      <c r="E1961" s="257"/>
    </row>
    <row r="1962" spans="4:5" s="238" customFormat="1" ht="14.25" x14ac:dyDescent="0.2">
      <c r="D1962" s="257"/>
      <c r="E1962" s="257"/>
    </row>
    <row r="1963" spans="4:5" s="238" customFormat="1" ht="14.25" x14ac:dyDescent="0.2">
      <c r="D1963" s="257"/>
      <c r="E1963" s="257"/>
    </row>
    <row r="1964" spans="4:5" s="238" customFormat="1" ht="14.25" x14ac:dyDescent="0.2">
      <c r="D1964" s="257"/>
      <c r="E1964" s="257"/>
    </row>
    <row r="1965" spans="4:5" s="238" customFormat="1" ht="14.25" x14ac:dyDescent="0.2">
      <c r="D1965" s="257"/>
      <c r="E1965" s="257"/>
    </row>
    <row r="1966" spans="4:5" s="238" customFormat="1" ht="14.25" x14ac:dyDescent="0.2">
      <c r="D1966" s="257"/>
      <c r="E1966" s="257"/>
    </row>
    <row r="1967" spans="4:5" s="238" customFormat="1" ht="14.25" x14ac:dyDescent="0.2">
      <c r="D1967" s="257"/>
      <c r="E1967" s="257"/>
    </row>
    <row r="1968" spans="4:5" s="238" customFormat="1" ht="14.25" x14ac:dyDescent="0.2">
      <c r="D1968" s="257"/>
      <c r="E1968" s="257"/>
    </row>
    <row r="1969" spans="4:5" s="238" customFormat="1" ht="14.25" x14ac:dyDescent="0.2">
      <c r="D1969" s="257"/>
      <c r="E1969" s="257"/>
    </row>
    <row r="1970" spans="4:5" s="238" customFormat="1" ht="14.25" x14ac:dyDescent="0.2">
      <c r="D1970" s="257"/>
      <c r="E1970" s="257"/>
    </row>
    <row r="1971" spans="4:5" s="238" customFormat="1" ht="14.25" x14ac:dyDescent="0.2">
      <c r="D1971" s="257"/>
      <c r="E1971" s="257"/>
    </row>
    <row r="1972" spans="4:5" s="238" customFormat="1" ht="14.25" x14ac:dyDescent="0.2">
      <c r="D1972" s="257"/>
      <c r="E1972" s="257"/>
    </row>
    <row r="1973" spans="4:5" s="238" customFormat="1" ht="14.25" x14ac:dyDescent="0.2">
      <c r="D1973" s="257"/>
      <c r="E1973" s="257"/>
    </row>
    <row r="1974" spans="4:5" s="238" customFormat="1" ht="14.25" x14ac:dyDescent="0.2">
      <c r="D1974" s="257"/>
      <c r="E1974" s="257"/>
    </row>
    <row r="1975" spans="4:5" s="238" customFormat="1" ht="14.25" x14ac:dyDescent="0.2">
      <c r="D1975" s="257"/>
      <c r="E1975" s="257"/>
    </row>
    <row r="1976" spans="4:5" s="238" customFormat="1" ht="14.25" x14ac:dyDescent="0.2">
      <c r="D1976" s="257"/>
      <c r="E1976" s="257"/>
    </row>
    <row r="1977" spans="4:5" s="238" customFormat="1" ht="14.25" x14ac:dyDescent="0.2">
      <c r="D1977" s="257"/>
      <c r="E1977" s="257"/>
    </row>
    <row r="1978" spans="4:5" s="238" customFormat="1" ht="14.25" x14ac:dyDescent="0.2">
      <c r="D1978" s="257"/>
      <c r="E1978" s="257"/>
    </row>
    <row r="1979" spans="4:5" s="238" customFormat="1" ht="14.25" x14ac:dyDescent="0.2">
      <c r="D1979" s="257"/>
      <c r="E1979" s="257"/>
    </row>
    <row r="1980" spans="4:5" s="238" customFormat="1" ht="14.25" x14ac:dyDescent="0.2">
      <c r="D1980" s="257"/>
      <c r="E1980" s="257"/>
    </row>
    <row r="1981" spans="4:5" s="238" customFormat="1" ht="14.25" x14ac:dyDescent="0.2">
      <c r="D1981" s="257"/>
      <c r="E1981" s="257"/>
    </row>
    <row r="1982" spans="4:5" s="238" customFormat="1" ht="14.25" x14ac:dyDescent="0.2">
      <c r="D1982" s="257"/>
      <c r="E1982" s="257"/>
    </row>
    <row r="1983" spans="4:5" s="238" customFormat="1" ht="14.25" x14ac:dyDescent="0.2">
      <c r="D1983" s="257"/>
      <c r="E1983" s="257"/>
    </row>
    <row r="1984" spans="4:5" s="238" customFormat="1" ht="14.25" x14ac:dyDescent="0.2">
      <c r="D1984" s="257"/>
      <c r="E1984" s="257"/>
    </row>
    <row r="1985" spans="4:5" s="238" customFormat="1" ht="14.25" x14ac:dyDescent="0.2">
      <c r="D1985" s="257"/>
      <c r="E1985" s="257"/>
    </row>
    <row r="1986" spans="4:5" s="238" customFormat="1" ht="14.25" x14ac:dyDescent="0.2">
      <c r="D1986" s="257"/>
      <c r="E1986" s="257"/>
    </row>
    <row r="1987" spans="4:5" s="238" customFormat="1" ht="14.25" x14ac:dyDescent="0.2">
      <c r="D1987" s="257"/>
      <c r="E1987" s="257"/>
    </row>
    <row r="1988" spans="4:5" s="238" customFormat="1" ht="14.25" x14ac:dyDescent="0.2">
      <c r="D1988" s="257"/>
      <c r="E1988" s="257"/>
    </row>
    <row r="1989" spans="4:5" s="238" customFormat="1" ht="14.25" x14ac:dyDescent="0.2">
      <c r="D1989" s="257"/>
      <c r="E1989" s="257"/>
    </row>
    <row r="1990" spans="4:5" s="238" customFormat="1" ht="14.25" x14ac:dyDescent="0.2">
      <c r="D1990" s="257"/>
      <c r="E1990" s="257"/>
    </row>
    <row r="1991" spans="4:5" s="238" customFormat="1" ht="14.25" x14ac:dyDescent="0.2">
      <c r="D1991" s="257"/>
      <c r="E1991" s="257"/>
    </row>
    <row r="1992" spans="4:5" s="238" customFormat="1" ht="14.25" x14ac:dyDescent="0.2">
      <c r="D1992" s="257"/>
      <c r="E1992" s="257"/>
    </row>
    <row r="1993" spans="4:5" s="238" customFormat="1" ht="14.25" x14ac:dyDescent="0.2">
      <c r="D1993" s="257"/>
      <c r="E1993" s="257"/>
    </row>
    <row r="1994" spans="4:5" s="238" customFormat="1" ht="14.25" x14ac:dyDescent="0.2">
      <c r="D1994" s="257"/>
      <c r="E1994" s="257"/>
    </row>
    <row r="1995" spans="4:5" s="238" customFormat="1" ht="14.25" x14ac:dyDescent="0.2">
      <c r="D1995" s="257"/>
      <c r="E1995" s="257"/>
    </row>
    <row r="1996" spans="4:5" s="238" customFormat="1" ht="14.25" x14ac:dyDescent="0.2">
      <c r="D1996" s="257"/>
      <c r="E1996" s="257"/>
    </row>
    <row r="1997" spans="4:5" s="238" customFormat="1" ht="14.25" x14ac:dyDescent="0.2">
      <c r="D1997" s="257"/>
      <c r="E1997" s="257"/>
    </row>
    <row r="1998" spans="4:5" s="238" customFormat="1" ht="14.25" x14ac:dyDescent="0.2">
      <c r="D1998" s="257"/>
      <c r="E1998" s="257"/>
    </row>
    <row r="1999" spans="4:5" s="238" customFormat="1" ht="14.25" x14ac:dyDescent="0.2">
      <c r="D1999" s="257"/>
      <c r="E1999" s="257"/>
    </row>
    <row r="2000" spans="4:5" s="238" customFormat="1" ht="14.25" x14ac:dyDescent="0.2">
      <c r="D2000" s="257"/>
      <c r="E2000" s="257"/>
    </row>
    <row r="2001" spans="4:5" s="238" customFormat="1" ht="14.25" x14ac:dyDescent="0.2">
      <c r="D2001" s="257"/>
      <c r="E2001" s="257"/>
    </row>
    <row r="2002" spans="4:5" s="238" customFormat="1" ht="14.25" x14ac:dyDescent="0.2">
      <c r="D2002" s="257"/>
      <c r="E2002" s="257"/>
    </row>
    <row r="2003" spans="4:5" s="238" customFormat="1" ht="14.25" x14ac:dyDescent="0.2">
      <c r="D2003" s="257"/>
      <c r="E2003" s="257"/>
    </row>
    <row r="2004" spans="4:5" s="238" customFormat="1" ht="14.25" x14ac:dyDescent="0.2">
      <c r="D2004" s="257"/>
      <c r="E2004" s="257"/>
    </row>
    <row r="2005" spans="4:5" s="238" customFormat="1" ht="14.25" x14ac:dyDescent="0.2">
      <c r="D2005" s="257"/>
      <c r="E2005" s="257"/>
    </row>
    <row r="2006" spans="4:5" s="238" customFormat="1" ht="14.25" x14ac:dyDescent="0.2">
      <c r="D2006" s="257"/>
      <c r="E2006" s="257"/>
    </row>
    <row r="2007" spans="4:5" s="238" customFormat="1" ht="14.25" x14ac:dyDescent="0.2">
      <c r="D2007" s="257"/>
      <c r="E2007" s="257"/>
    </row>
    <row r="2008" spans="4:5" s="238" customFormat="1" ht="14.25" x14ac:dyDescent="0.2">
      <c r="D2008" s="257"/>
      <c r="E2008" s="257"/>
    </row>
    <row r="2009" spans="4:5" s="238" customFormat="1" ht="14.25" x14ac:dyDescent="0.2">
      <c r="D2009" s="257"/>
      <c r="E2009" s="257"/>
    </row>
    <row r="2010" spans="4:5" s="238" customFormat="1" ht="14.25" x14ac:dyDescent="0.2">
      <c r="D2010" s="257"/>
      <c r="E2010" s="257"/>
    </row>
    <row r="2011" spans="4:5" s="238" customFormat="1" ht="14.25" x14ac:dyDescent="0.2">
      <c r="D2011" s="257"/>
      <c r="E2011" s="257"/>
    </row>
    <row r="2012" spans="4:5" s="238" customFormat="1" ht="14.25" x14ac:dyDescent="0.2">
      <c r="D2012" s="257"/>
      <c r="E2012" s="257"/>
    </row>
    <row r="2013" spans="4:5" s="238" customFormat="1" ht="14.25" x14ac:dyDescent="0.2">
      <c r="D2013" s="257"/>
      <c r="E2013" s="257"/>
    </row>
    <row r="2014" spans="4:5" s="238" customFormat="1" ht="14.25" x14ac:dyDescent="0.2">
      <c r="D2014" s="257"/>
      <c r="E2014" s="257"/>
    </row>
    <row r="2015" spans="4:5" s="238" customFormat="1" ht="14.25" x14ac:dyDescent="0.2">
      <c r="D2015" s="257"/>
      <c r="E2015" s="257"/>
    </row>
    <row r="2016" spans="4:5" s="238" customFormat="1" ht="14.25" x14ac:dyDescent="0.2">
      <c r="D2016" s="257"/>
      <c r="E2016" s="257"/>
    </row>
    <row r="2017" spans="4:5" s="238" customFormat="1" ht="14.25" x14ac:dyDescent="0.2">
      <c r="D2017" s="257"/>
      <c r="E2017" s="257"/>
    </row>
    <row r="2018" spans="4:5" s="238" customFormat="1" ht="14.25" x14ac:dyDescent="0.2">
      <c r="D2018" s="257"/>
      <c r="E2018" s="257"/>
    </row>
    <row r="2019" spans="4:5" s="238" customFormat="1" ht="14.25" x14ac:dyDescent="0.2">
      <c r="D2019" s="257"/>
      <c r="E2019" s="257"/>
    </row>
    <row r="2020" spans="4:5" s="238" customFormat="1" ht="14.25" x14ac:dyDescent="0.2">
      <c r="D2020" s="257"/>
      <c r="E2020" s="257"/>
    </row>
    <row r="2021" spans="4:5" s="238" customFormat="1" ht="14.25" x14ac:dyDescent="0.2">
      <c r="D2021" s="257"/>
      <c r="E2021" s="257"/>
    </row>
    <row r="2022" spans="4:5" s="238" customFormat="1" ht="14.25" x14ac:dyDescent="0.2">
      <c r="D2022" s="257"/>
      <c r="E2022" s="257"/>
    </row>
    <row r="2023" spans="4:5" s="238" customFormat="1" ht="14.25" x14ac:dyDescent="0.2">
      <c r="D2023" s="257"/>
      <c r="E2023" s="257"/>
    </row>
    <row r="2024" spans="4:5" s="238" customFormat="1" ht="14.25" x14ac:dyDescent="0.2">
      <c r="D2024" s="257"/>
      <c r="E2024" s="257"/>
    </row>
    <row r="2025" spans="4:5" s="238" customFormat="1" ht="14.25" x14ac:dyDescent="0.2">
      <c r="D2025" s="257"/>
      <c r="E2025" s="257"/>
    </row>
    <row r="2026" spans="4:5" s="238" customFormat="1" ht="14.25" x14ac:dyDescent="0.2">
      <c r="D2026" s="257"/>
      <c r="E2026" s="257"/>
    </row>
    <row r="2027" spans="4:5" s="238" customFormat="1" ht="14.25" x14ac:dyDescent="0.2">
      <c r="D2027" s="257"/>
      <c r="E2027" s="257"/>
    </row>
    <row r="2028" spans="4:5" s="238" customFormat="1" ht="14.25" x14ac:dyDescent="0.2">
      <c r="D2028" s="257"/>
      <c r="E2028" s="257"/>
    </row>
    <row r="2029" spans="4:5" s="238" customFormat="1" ht="14.25" x14ac:dyDescent="0.2">
      <c r="D2029" s="257"/>
      <c r="E2029" s="257"/>
    </row>
    <row r="2030" spans="4:5" s="238" customFormat="1" ht="14.25" x14ac:dyDescent="0.2">
      <c r="D2030" s="257"/>
      <c r="E2030" s="257"/>
    </row>
    <row r="2031" spans="4:5" s="238" customFormat="1" ht="14.25" x14ac:dyDescent="0.2">
      <c r="D2031" s="257"/>
      <c r="E2031" s="257"/>
    </row>
    <row r="2032" spans="4:5" s="238" customFormat="1" ht="14.25" x14ac:dyDescent="0.2">
      <c r="D2032" s="257"/>
      <c r="E2032" s="257"/>
    </row>
    <row r="2033" spans="4:5" s="238" customFormat="1" ht="14.25" x14ac:dyDescent="0.2">
      <c r="D2033" s="257"/>
      <c r="E2033" s="257"/>
    </row>
    <row r="2034" spans="4:5" s="238" customFormat="1" ht="14.25" x14ac:dyDescent="0.2">
      <c r="D2034" s="257"/>
      <c r="E2034" s="257"/>
    </row>
    <row r="2035" spans="4:5" s="238" customFormat="1" ht="14.25" x14ac:dyDescent="0.2">
      <c r="D2035" s="257"/>
      <c r="E2035" s="257"/>
    </row>
    <row r="2036" spans="4:5" s="238" customFormat="1" ht="14.25" x14ac:dyDescent="0.2">
      <c r="D2036" s="257"/>
      <c r="E2036" s="257"/>
    </row>
    <row r="2037" spans="4:5" s="238" customFormat="1" ht="14.25" x14ac:dyDescent="0.2">
      <c r="D2037" s="257"/>
      <c r="E2037" s="257"/>
    </row>
    <row r="2038" spans="4:5" s="238" customFormat="1" ht="14.25" x14ac:dyDescent="0.2">
      <c r="D2038" s="257"/>
      <c r="E2038" s="257"/>
    </row>
    <row r="2039" spans="4:5" s="238" customFormat="1" ht="14.25" x14ac:dyDescent="0.2">
      <c r="D2039" s="257"/>
      <c r="E2039" s="257"/>
    </row>
    <row r="2040" spans="4:5" s="238" customFormat="1" ht="14.25" x14ac:dyDescent="0.2">
      <c r="D2040" s="257"/>
      <c r="E2040" s="257"/>
    </row>
    <row r="2041" spans="4:5" s="238" customFormat="1" ht="14.25" x14ac:dyDescent="0.2">
      <c r="D2041" s="257"/>
      <c r="E2041" s="257"/>
    </row>
    <row r="2042" spans="4:5" s="238" customFormat="1" ht="14.25" x14ac:dyDescent="0.2">
      <c r="D2042" s="257"/>
      <c r="E2042" s="257"/>
    </row>
    <row r="2043" spans="4:5" s="238" customFormat="1" ht="14.25" x14ac:dyDescent="0.2">
      <c r="D2043" s="257"/>
      <c r="E2043" s="257"/>
    </row>
    <row r="2044" spans="4:5" s="238" customFormat="1" ht="14.25" x14ac:dyDescent="0.2">
      <c r="D2044" s="257"/>
      <c r="E2044" s="257"/>
    </row>
    <row r="2045" spans="4:5" s="238" customFormat="1" ht="14.25" x14ac:dyDescent="0.2">
      <c r="D2045" s="257"/>
      <c r="E2045" s="257"/>
    </row>
    <row r="2046" spans="4:5" s="238" customFormat="1" ht="14.25" x14ac:dyDescent="0.2">
      <c r="D2046" s="257"/>
      <c r="E2046" s="257"/>
    </row>
    <row r="2047" spans="4:5" s="238" customFormat="1" ht="14.25" x14ac:dyDescent="0.2">
      <c r="D2047" s="257"/>
      <c r="E2047" s="257"/>
    </row>
    <row r="2048" spans="4:5" s="238" customFormat="1" ht="14.25" x14ac:dyDescent="0.2">
      <c r="D2048" s="257"/>
      <c r="E2048" s="257"/>
    </row>
    <row r="2049" spans="4:5" s="238" customFormat="1" ht="14.25" x14ac:dyDescent="0.2">
      <c r="D2049" s="257"/>
      <c r="E2049" s="257"/>
    </row>
    <row r="2050" spans="4:5" s="238" customFormat="1" ht="14.25" x14ac:dyDescent="0.2">
      <c r="D2050" s="257"/>
      <c r="E2050" s="257"/>
    </row>
    <row r="2051" spans="4:5" s="238" customFormat="1" ht="14.25" x14ac:dyDescent="0.2">
      <c r="D2051" s="257"/>
      <c r="E2051" s="257"/>
    </row>
    <row r="2052" spans="4:5" s="238" customFormat="1" ht="14.25" x14ac:dyDescent="0.2">
      <c r="D2052" s="257"/>
      <c r="E2052" s="257"/>
    </row>
    <row r="2053" spans="4:5" s="238" customFormat="1" ht="14.25" x14ac:dyDescent="0.2">
      <c r="D2053" s="257"/>
      <c r="E2053" s="257"/>
    </row>
    <row r="2054" spans="4:5" s="238" customFormat="1" ht="14.25" x14ac:dyDescent="0.2">
      <c r="D2054" s="257"/>
      <c r="E2054" s="257"/>
    </row>
    <row r="2055" spans="4:5" s="238" customFormat="1" ht="14.25" x14ac:dyDescent="0.2">
      <c r="D2055" s="257"/>
      <c r="E2055" s="257"/>
    </row>
    <row r="2056" spans="4:5" s="238" customFormat="1" ht="14.25" x14ac:dyDescent="0.2">
      <c r="D2056" s="257"/>
      <c r="E2056" s="257"/>
    </row>
    <row r="2057" spans="4:5" s="238" customFormat="1" ht="14.25" x14ac:dyDescent="0.2">
      <c r="D2057" s="257"/>
      <c r="E2057" s="257"/>
    </row>
    <row r="2058" spans="4:5" s="238" customFormat="1" ht="14.25" x14ac:dyDescent="0.2">
      <c r="D2058" s="257"/>
      <c r="E2058" s="257"/>
    </row>
    <row r="2059" spans="4:5" s="238" customFormat="1" ht="14.25" x14ac:dyDescent="0.2">
      <c r="D2059" s="257"/>
      <c r="E2059" s="257"/>
    </row>
    <row r="2060" spans="4:5" s="238" customFormat="1" ht="14.25" x14ac:dyDescent="0.2">
      <c r="D2060" s="257"/>
      <c r="E2060" s="257"/>
    </row>
    <row r="2061" spans="4:5" s="238" customFormat="1" ht="14.25" x14ac:dyDescent="0.2">
      <c r="D2061" s="257"/>
      <c r="E2061" s="257"/>
    </row>
    <row r="2062" spans="4:5" s="238" customFormat="1" ht="14.25" x14ac:dyDescent="0.2">
      <c r="D2062" s="257"/>
      <c r="E2062" s="257"/>
    </row>
    <row r="2063" spans="4:5" s="238" customFormat="1" ht="14.25" x14ac:dyDescent="0.2">
      <c r="D2063" s="257"/>
      <c r="E2063" s="257"/>
    </row>
    <row r="2064" spans="4:5" s="238" customFormat="1" ht="14.25" x14ac:dyDescent="0.2">
      <c r="D2064" s="257"/>
      <c r="E2064" s="257"/>
    </row>
    <row r="2065" spans="4:5" s="238" customFormat="1" ht="14.25" x14ac:dyDescent="0.2">
      <c r="D2065" s="257"/>
      <c r="E2065" s="257"/>
    </row>
    <row r="2066" spans="4:5" s="238" customFormat="1" ht="14.25" x14ac:dyDescent="0.2">
      <c r="D2066" s="257"/>
      <c r="E2066" s="257"/>
    </row>
    <row r="2067" spans="4:5" s="238" customFormat="1" ht="14.25" x14ac:dyDescent="0.2">
      <c r="D2067" s="257"/>
      <c r="E2067" s="257"/>
    </row>
    <row r="2068" spans="4:5" s="238" customFormat="1" ht="14.25" x14ac:dyDescent="0.2">
      <c r="D2068" s="257"/>
      <c r="E2068" s="257"/>
    </row>
    <row r="2069" spans="4:5" s="238" customFormat="1" ht="14.25" x14ac:dyDescent="0.2">
      <c r="D2069" s="257"/>
      <c r="E2069" s="257"/>
    </row>
    <row r="2070" spans="4:5" s="238" customFormat="1" ht="14.25" x14ac:dyDescent="0.2">
      <c r="D2070" s="257"/>
      <c r="E2070" s="257"/>
    </row>
    <row r="2071" spans="4:5" s="238" customFormat="1" ht="14.25" x14ac:dyDescent="0.2">
      <c r="D2071" s="257"/>
      <c r="E2071" s="257"/>
    </row>
    <row r="2072" spans="4:5" s="238" customFormat="1" ht="14.25" x14ac:dyDescent="0.2">
      <c r="D2072" s="257"/>
      <c r="E2072" s="257"/>
    </row>
    <row r="2073" spans="4:5" s="238" customFormat="1" ht="14.25" x14ac:dyDescent="0.2">
      <c r="D2073" s="257"/>
      <c r="E2073" s="257"/>
    </row>
    <row r="2074" spans="4:5" s="238" customFormat="1" ht="14.25" x14ac:dyDescent="0.2">
      <c r="D2074" s="257"/>
      <c r="E2074" s="257"/>
    </row>
    <row r="2075" spans="4:5" s="238" customFormat="1" ht="14.25" x14ac:dyDescent="0.2">
      <c r="D2075" s="257"/>
      <c r="E2075" s="257"/>
    </row>
    <row r="2076" spans="4:5" s="238" customFormat="1" ht="14.25" x14ac:dyDescent="0.2">
      <c r="D2076" s="257"/>
      <c r="E2076" s="257"/>
    </row>
    <row r="2077" spans="4:5" s="238" customFormat="1" ht="14.25" x14ac:dyDescent="0.2">
      <c r="D2077" s="257"/>
      <c r="E2077" s="257"/>
    </row>
    <row r="2078" spans="4:5" s="238" customFormat="1" ht="14.25" x14ac:dyDescent="0.2">
      <c r="D2078" s="257"/>
      <c r="E2078" s="257"/>
    </row>
    <row r="2079" spans="4:5" s="238" customFormat="1" ht="14.25" x14ac:dyDescent="0.2">
      <c r="D2079" s="257"/>
      <c r="E2079" s="257"/>
    </row>
    <row r="2080" spans="4:5" s="238" customFormat="1" ht="14.25" x14ac:dyDescent="0.2">
      <c r="D2080" s="257"/>
      <c r="E2080" s="257"/>
    </row>
    <row r="2081" spans="4:5" s="238" customFormat="1" ht="14.25" x14ac:dyDescent="0.2">
      <c r="D2081" s="257"/>
      <c r="E2081" s="257"/>
    </row>
    <row r="2082" spans="4:5" s="238" customFormat="1" ht="14.25" x14ac:dyDescent="0.2">
      <c r="D2082" s="257"/>
      <c r="E2082" s="257"/>
    </row>
    <row r="2083" spans="4:5" s="238" customFormat="1" ht="14.25" x14ac:dyDescent="0.2">
      <c r="D2083" s="257"/>
      <c r="E2083" s="257"/>
    </row>
    <row r="2084" spans="4:5" s="238" customFormat="1" ht="14.25" x14ac:dyDescent="0.2">
      <c r="D2084" s="257"/>
      <c r="E2084" s="257"/>
    </row>
    <row r="2085" spans="4:5" s="238" customFormat="1" ht="14.25" x14ac:dyDescent="0.2">
      <c r="D2085" s="257"/>
      <c r="E2085" s="257"/>
    </row>
    <row r="2086" spans="4:5" s="238" customFormat="1" ht="14.25" x14ac:dyDescent="0.2">
      <c r="D2086" s="257"/>
      <c r="E2086" s="257"/>
    </row>
    <row r="2087" spans="4:5" s="238" customFormat="1" ht="14.25" x14ac:dyDescent="0.2">
      <c r="D2087" s="257"/>
      <c r="E2087" s="257"/>
    </row>
    <row r="2088" spans="4:5" s="238" customFormat="1" ht="14.25" x14ac:dyDescent="0.2">
      <c r="D2088" s="257"/>
      <c r="E2088" s="257"/>
    </row>
    <row r="2089" spans="4:5" s="238" customFormat="1" ht="14.25" x14ac:dyDescent="0.2">
      <c r="D2089" s="257"/>
      <c r="E2089" s="257"/>
    </row>
    <row r="2090" spans="4:5" s="238" customFormat="1" ht="14.25" x14ac:dyDescent="0.2">
      <c r="D2090" s="257"/>
      <c r="E2090" s="257"/>
    </row>
    <row r="2091" spans="4:5" s="238" customFormat="1" ht="14.25" x14ac:dyDescent="0.2">
      <c r="D2091" s="257"/>
      <c r="E2091" s="257"/>
    </row>
    <row r="2092" spans="4:5" s="238" customFormat="1" ht="14.25" x14ac:dyDescent="0.2">
      <c r="D2092" s="257"/>
      <c r="E2092" s="257"/>
    </row>
    <row r="2093" spans="4:5" s="238" customFormat="1" ht="14.25" x14ac:dyDescent="0.2">
      <c r="D2093" s="257"/>
      <c r="E2093" s="257"/>
    </row>
    <row r="2094" spans="4:5" s="238" customFormat="1" ht="14.25" x14ac:dyDescent="0.2">
      <c r="D2094" s="257"/>
      <c r="E2094" s="257"/>
    </row>
    <row r="2095" spans="4:5" s="238" customFormat="1" ht="14.25" x14ac:dyDescent="0.2">
      <c r="D2095" s="257"/>
      <c r="E2095" s="257"/>
    </row>
    <row r="2096" spans="4:5" s="238" customFormat="1" ht="14.25" x14ac:dyDescent="0.2">
      <c r="D2096" s="257"/>
      <c r="E2096" s="257"/>
    </row>
    <row r="2097" spans="4:5" s="238" customFormat="1" ht="14.25" x14ac:dyDescent="0.2">
      <c r="D2097" s="257"/>
      <c r="E2097" s="257"/>
    </row>
    <row r="2098" spans="4:5" s="238" customFormat="1" ht="14.25" x14ac:dyDescent="0.2">
      <c r="D2098" s="257"/>
      <c r="E2098" s="257"/>
    </row>
    <row r="2099" spans="4:5" s="238" customFormat="1" ht="14.25" x14ac:dyDescent="0.2">
      <c r="D2099" s="257"/>
      <c r="E2099" s="257"/>
    </row>
    <row r="2100" spans="4:5" s="238" customFormat="1" ht="14.25" x14ac:dyDescent="0.2">
      <c r="D2100" s="257"/>
      <c r="E2100" s="257"/>
    </row>
    <row r="2101" spans="4:5" s="238" customFormat="1" ht="14.25" x14ac:dyDescent="0.2">
      <c r="D2101" s="257"/>
      <c r="E2101" s="257"/>
    </row>
    <row r="2102" spans="4:5" s="238" customFormat="1" ht="14.25" x14ac:dyDescent="0.2">
      <c r="D2102" s="257"/>
      <c r="E2102" s="257"/>
    </row>
    <row r="2103" spans="4:5" s="238" customFormat="1" ht="14.25" x14ac:dyDescent="0.2">
      <c r="D2103" s="257"/>
      <c r="E2103" s="257"/>
    </row>
    <row r="2104" spans="4:5" s="238" customFormat="1" ht="14.25" x14ac:dyDescent="0.2">
      <c r="D2104" s="257"/>
      <c r="E2104" s="257"/>
    </row>
    <row r="2105" spans="4:5" s="238" customFormat="1" ht="14.25" x14ac:dyDescent="0.2">
      <c r="D2105" s="257"/>
      <c r="E2105" s="257"/>
    </row>
    <row r="2106" spans="4:5" s="238" customFormat="1" ht="14.25" x14ac:dyDescent="0.2">
      <c r="D2106" s="257"/>
      <c r="E2106" s="257"/>
    </row>
    <row r="2107" spans="4:5" s="238" customFormat="1" ht="14.25" x14ac:dyDescent="0.2">
      <c r="D2107" s="257"/>
      <c r="E2107" s="257"/>
    </row>
    <row r="2108" spans="4:5" s="238" customFormat="1" ht="14.25" x14ac:dyDescent="0.2">
      <c r="D2108" s="257"/>
      <c r="E2108" s="257"/>
    </row>
    <row r="2109" spans="4:5" s="238" customFormat="1" ht="14.25" x14ac:dyDescent="0.2">
      <c r="D2109" s="257"/>
      <c r="E2109" s="257"/>
    </row>
    <row r="2110" spans="4:5" s="238" customFormat="1" ht="14.25" x14ac:dyDescent="0.2">
      <c r="D2110" s="257"/>
      <c r="E2110" s="257"/>
    </row>
    <row r="2111" spans="4:5" s="238" customFormat="1" ht="14.25" x14ac:dyDescent="0.2">
      <c r="D2111" s="257"/>
      <c r="E2111" s="257"/>
    </row>
    <row r="2112" spans="4:5" s="238" customFormat="1" ht="14.25" x14ac:dyDescent="0.2">
      <c r="D2112" s="257"/>
      <c r="E2112" s="257"/>
    </row>
    <row r="2113" spans="4:5" s="238" customFormat="1" ht="14.25" x14ac:dyDescent="0.2">
      <c r="D2113" s="257"/>
      <c r="E2113" s="257"/>
    </row>
    <row r="2114" spans="4:5" s="238" customFormat="1" ht="14.25" x14ac:dyDescent="0.2">
      <c r="D2114" s="257"/>
      <c r="E2114" s="257"/>
    </row>
    <row r="2115" spans="4:5" s="238" customFormat="1" ht="14.25" x14ac:dyDescent="0.2">
      <c r="D2115" s="257"/>
      <c r="E2115" s="257"/>
    </row>
    <row r="2116" spans="4:5" s="238" customFormat="1" ht="14.25" x14ac:dyDescent="0.2">
      <c r="D2116" s="257"/>
      <c r="E2116" s="257"/>
    </row>
    <row r="2117" spans="4:5" s="238" customFormat="1" ht="14.25" x14ac:dyDescent="0.2">
      <c r="D2117" s="257"/>
      <c r="E2117" s="257"/>
    </row>
    <row r="2118" spans="4:5" s="238" customFormat="1" ht="14.25" x14ac:dyDescent="0.2">
      <c r="D2118" s="257"/>
      <c r="E2118" s="257"/>
    </row>
    <row r="2119" spans="4:5" s="238" customFormat="1" ht="14.25" x14ac:dyDescent="0.2">
      <c r="D2119" s="257"/>
      <c r="E2119" s="257"/>
    </row>
    <row r="2120" spans="4:5" s="238" customFormat="1" ht="14.25" x14ac:dyDescent="0.2">
      <c r="D2120" s="257"/>
      <c r="E2120" s="257"/>
    </row>
    <row r="2121" spans="4:5" s="238" customFormat="1" ht="14.25" x14ac:dyDescent="0.2">
      <c r="D2121" s="257"/>
      <c r="E2121" s="257"/>
    </row>
    <row r="2122" spans="4:5" s="238" customFormat="1" ht="14.25" x14ac:dyDescent="0.2">
      <c r="D2122" s="257"/>
      <c r="E2122" s="257"/>
    </row>
    <row r="2123" spans="4:5" s="238" customFormat="1" ht="14.25" x14ac:dyDescent="0.2">
      <c r="D2123" s="257"/>
      <c r="E2123" s="257"/>
    </row>
    <row r="2124" spans="4:5" s="238" customFormat="1" ht="14.25" x14ac:dyDescent="0.2">
      <c r="D2124" s="257"/>
      <c r="E2124" s="257"/>
    </row>
    <row r="2125" spans="4:5" s="238" customFormat="1" ht="14.25" x14ac:dyDescent="0.2">
      <c r="D2125" s="257"/>
      <c r="E2125" s="257"/>
    </row>
    <row r="2126" spans="4:5" s="238" customFormat="1" ht="14.25" x14ac:dyDescent="0.2">
      <c r="D2126" s="257"/>
      <c r="E2126" s="257"/>
    </row>
    <row r="2127" spans="4:5" s="238" customFormat="1" ht="14.25" x14ac:dyDescent="0.2">
      <c r="D2127" s="257"/>
      <c r="E2127" s="257"/>
    </row>
    <row r="2128" spans="4:5" s="238" customFormat="1" ht="14.25" x14ac:dyDescent="0.2">
      <c r="D2128" s="257"/>
      <c r="E2128" s="257"/>
    </row>
    <row r="2129" spans="4:5" s="238" customFormat="1" ht="14.25" x14ac:dyDescent="0.2">
      <c r="D2129" s="257"/>
      <c r="E2129" s="257"/>
    </row>
    <row r="2130" spans="4:5" s="238" customFormat="1" ht="14.25" x14ac:dyDescent="0.2">
      <c r="D2130" s="257"/>
      <c r="E2130" s="257"/>
    </row>
    <row r="2131" spans="4:5" s="238" customFormat="1" ht="14.25" x14ac:dyDescent="0.2">
      <c r="D2131" s="257"/>
      <c r="E2131" s="257"/>
    </row>
    <row r="2132" spans="4:5" s="238" customFormat="1" ht="14.25" x14ac:dyDescent="0.2">
      <c r="D2132" s="257"/>
      <c r="E2132" s="257"/>
    </row>
    <row r="2133" spans="4:5" s="238" customFormat="1" ht="14.25" x14ac:dyDescent="0.2">
      <c r="D2133" s="257"/>
      <c r="E2133" s="257"/>
    </row>
    <row r="2134" spans="4:5" s="238" customFormat="1" ht="14.25" x14ac:dyDescent="0.2">
      <c r="D2134" s="257"/>
      <c r="E2134" s="257"/>
    </row>
    <row r="2135" spans="4:5" s="238" customFormat="1" ht="14.25" x14ac:dyDescent="0.2">
      <c r="D2135" s="257"/>
      <c r="E2135" s="257"/>
    </row>
    <row r="2136" spans="4:5" s="238" customFormat="1" ht="14.25" x14ac:dyDescent="0.2">
      <c r="D2136" s="257"/>
      <c r="E2136" s="257"/>
    </row>
    <row r="2137" spans="4:5" s="238" customFormat="1" ht="14.25" x14ac:dyDescent="0.2">
      <c r="D2137" s="257"/>
      <c r="E2137" s="257"/>
    </row>
    <row r="2138" spans="4:5" s="238" customFormat="1" ht="14.25" x14ac:dyDescent="0.2">
      <c r="D2138" s="257"/>
      <c r="E2138" s="257"/>
    </row>
    <row r="2139" spans="4:5" s="238" customFormat="1" ht="14.25" x14ac:dyDescent="0.2">
      <c r="D2139" s="257"/>
      <c r="E2139" s="257"/>
    </row>
    <row r="2140" spans="4:5" s="238" customFormat="1" ht="14.25" x14ac:dyDescent="0.2">
      <c r="D2140" s="257"/>
      <c r="E2140" s="257"/>
    </row>
    <row r="2141" spans="4:5" s="238" customFormat="1" ht="14.25" x14ac:dyDescent="0.2">
      <c r="D2141" s="257"/>
      <c r="E2141" s="257"/>
    </row>
    <row r="2142" spans="4:5" s="238" customFormat="1" ht="14.25" x14ac:dyDescent="0.2">
      <c r="D2142" s="257"/>
      <c r="E2142" s="257"/>
    </row>
    <row r="2143" spans="4:5" s="238" customFormat="1" ht="14.25" x14ac:dyDescent="0.2">
      <c r="D2143" s="257"/>
      <c r="E2143" s="257"/>
    </row>
    <row r="2144" spans="4:5" s="238" customFormat="1" ht="14.25" x14ac:dyDescent="0.2">
      <c r="D2144" s="257"/>
      <c r="E2144" s="257"/>
    </row>
    <row r="2145" spans="4:5" s="238" customFormat="1" ht="14.25" x14ac:dyDescent="0.2">
      <c r="D2145" s="257"/>
      <c r="E2145" s="257"/>
    </row>
    <row r="2146" spans="4:5" s="238" customFormat="1" ht="14.25" x14ac:dyDescent="0.2">
      <c r="D2146" s="257"/>
      <c r="E2146" s="257"/>
    </row>
    <row r="2147" spans="4:5" s="238" customFormat="1" ht="14.25" x14ac:dyDescent="0.2">
      <c r="D2147" s="257"/>
      <c r="E2147" s="257"/>
    </row>
    <row r="2148" spans="4:5" s="238" customFormat="1" ht="14.25" x14ac:dyDescent="0.2">
      <c r="D2148" s="257"/>
      <c r="E2148" s="257"/>
    </row>
    <row r="2149" spans="4:5" s="238" customFormat="1" ht="14.25" x14ac:dyDescent="0.2">
      <c r="D2149" s="257"/>
      <c r="E2149" s="257"/>
    </row>
    <row r="2150" spans="4:5" s="238" customFormat="1" ht="14.25" x14ac:dyDescent="0.2">
      <c r="D2150" s="257"/>
      <c r="E2150" s="257"/>
    </row>
    <row r="2151" spans="4:5" s="238" customFormat="1" ht="14.25" x14ac:dyDescent="0.2">
      <c r="D2151" s="257"/>
      <c r="E2151" s="257"/>
    </row>
    <row r="2152" spans="4:5" s="238" customFormat="1" ht="14.25" x14ac:dyDescent="0.2">
      <c r="D2152" s="257"/>
      <c r="E2152" s="257"/>
    </row>
    <row r="2153" spans="4:5" s="238" customFormat="1" ht="14.25" x14ac:dyDescent="0.2">
      <c r="D2153" s="257"/>
      <c r="E2153" s="257"/>
    </row>
    <row r="2154" spans="4:5" s="238" customFormat="1" ht="14.25" x14ac:dyDescent="0.2">
      <c r="D2154" s="257"/>
      <c r="E2154" s="257"/>
    </row>
    <row r="2155" spans="4:5" s="238" customFormat="1" ht="14.25" x14ac:dyDescent="0.2">
      <c r="D2155" s="257"/>
      <c r="E2155" s="257"/>
    </row>
    <row r="2156" spans="4:5" s="238" customFormat="1" ht="14.25" x14ac:dyDescent="0.2">
      <c r="D2156" s="257"/>
      <c r="E2156" s="257"/>
    </row>
    <row r="2157" spans="4:5" s="238" customFormat="1" ht="14.25" x14ac:dyDescent="0.2">
      <c r="D2157" s="257"/>
      <c r="E2157" s="257"/>
    </row>
    <row r="2158" spans="4:5" s="238" customFormat="1" ht="14.25" x14ac:dyDescent="0.2">
      <c r="D2158" s="257"/>
      <c r="E2158" s="257"/>
    </row>
    <row r="2159" spans="4:5" s="238" customFormat="1" ht="14.25" x14ac:dyDescent="0.2">
      <c r="D2159" s="257"/>
      <c r="E2159" s="257"/>
    </row>
    <row r="2160" spans="4:5" s="238" customFormat="1" ht="14.25" x14ac:dyDescent="0.2">
      <c r="D2160" s="257"/>
      <c r="E2160" s="257"/>
    </row>
    <row r="2161" spans="4:5" s="238" customFormat="1" ht="14.25" x14ac:dyDescent="0.2">
      <c r="D2161" s="257"/>
      <c r="E2161" s="257"/>
    </row>
    <row r="2162" spans="4:5" s="238" customFormat="1" ht="14.25" x14ac:dyDescent="0.2">
      <c r="D2162" s="257"/>
      <c r="E2162" s="257"/>
    </row>
    <row r="2163" spans="4:5" s="238" customFormat="1" ht="14.25" x14ac:dyDescent="0.2">
      <c r="D2163" s="257"/>
      <c r="E2163" s="257"/>
    </row>
    <row r="2164" spans="4:5" s="238" customFormat="1" ht="14.25" x14ac:dyDescent="0.2">
      <c r="D2164" s="257"/>
      <c r="E2164" s="257"/>
    </row>
    <row r="2165" spans="4:5" s="238" customFormat="1" ht="14.25" x14ac:dyDescent="0.2">
      <c r="D2165" s="257"/>
      <c r="E2165" s="257"/>
    </row>
    <row r="2166" spans="4:5" s="238" customFormat="1" ht="14.25" x14ac:dyDescent="0.2">
      <c r="D2166" s="257"/>
      <c r="E2166" s="257"/>
    </row>
    <row r="2167" spans="4:5" s="238" customFormat="1" ht="14.25" x14ac:dyDescent="0.2">
      <c r="D2167" s="257"/>
      <c r="E2167" s="257"/>
    </row>
    <row r="2168" spans="4:5" s="238" customFormat="1" ht="14.25" x14ac:dyDescent="0.2">
      <c r="D2168" s="257"/>
      <c r="E2168" s="257"/>
    </row>
    <row r="2169" spans="4:5" s="238" customFormat="1" ht="14.25" x14ac:dyDescent="0.2">
      <c r="D2169" s="257"/>
      <c r="E2169" s="257"/>
    </row>
    <row r="2170" spans="4:5" s="238" customFormat="1" ht="14.25" x14ac:dyDescent="0.2">
      <c r="D2170" s="257"/>
      <c r="E2170" s="257"/>
    </row>
    <row r="2171" spans="4:5" s="238" customFormat="1" ht="14.25" x14ac:dyDescent="0.2">
      <c r="D2171" s="257"/>
      <c r="E2171" s="257"/>
    </row>
    <row r="2172" spans="4:5" s="238" customFormat="1" ht="14.25" x14ac:dyDescent="0.2">
      <c r="D2172" s="257"/>
      <c r="E2172" s="257"/>
    </row>
    <row r="2173" spans="4:5" s="238" customFormat="1" ht="14.25" x14ac:dyDescent="0.2">
      <c r="D2173" s="257"/>
      <c r="E2173" s="257"/>
    </row>
    <row r="2174" spans="4:5" s="238" customFormat="1" ht="14.25" x14ac:dyDescent="0.2">
      <c r="D2174" s="257"/>
      <c r="E2174" s="257"/>
    </row>
    <row r="2175" spans="4:5" s="238" customFormat="1" ht="14.25" x14ac:dyDescent="0.2">
      <c r="D2175" s="257"/>
      <c r="E2175" s="257"/>
    </row>
    <row r="2176" spans="4:5" s="238" customFormat="1" ht="14.25" x14ac:dyDescent="0.2">
      <c r="D2176" s="257"/>
      <c r="E2176" s="257"/>
    </row>
    <row r="2177" spans="4:5" s="238" customFormat="1" ht="14.25" x14ac:dyDescent="0.2">
      <c r="D2177" s="257"/>
      <c r="E2177" s="257"/>
    </row>
    <row r="2178" spans="4:5" s="238" customFormat="1" ht="14.25" x14ac:dyDescent="0.2">
      <c r="D2178" s="257"/>
      <c r="E2178" s="257"/>
    </row>
    <row r="2179" spans="4:5" s="238" customFormat="1" ht="14.25" x14ac:dyDescent="0.2">
      <c r="D2179" s="257"/>
      <c r="E2179" s="257"/>
    </row>
    <row r="2180" spans="4:5" s="238" customFormat="1" ht="14.25" x14ac:dyDescent="0.2">
      <c r="D2180" s="257"/>
      <c r="E2180" s="257"/>
    </row>
    <row r="2181" spans="4:5" s="238" customFormat="1" ht="14.25" x14ac:dyDescent="0.2">
      <c r="D2181" s="257"/>
      <c r="E2181" s="257"/>
    </row>
    <row r="2182" spans="4:5" s="238" customFormat="1" ht="14.25" x14ac:dyDescent="0.2">
      <c r="D2182" s="257"/>
      <c r="E2182" s="257"/>
    </row>
    <row r="2183" spans="4:5" s="238" customFormat="1" ht="14.25" x14ac:dyDescent="0.2">
      <c r="D2183" s="257"/>
      <c r="E2183" s="257"/>
    </row>
    <row r="2184" spans="4:5" s="238" customFormat="1" ht="14.25" x14ac:dyDescent="0.2">
      <c r="D2184" s="257"/>
      <c r="E2184" s="257"/>
    </row>
    <row r="2185" spans="4:5" s="238" customFormat="1" ht="14.25" x14ac:dyDescent="0.2">
      <c r="D2185" s="257"/>
      <c r="E2185" s="257"/>
    </row>
    <row r="2186" spans="4:5" s="238" customFormat="1" ht="14.25" x14ac:dyDescent="0.2">
      <c r="D2186" s="257"/>
      <c r="E2186" s="257"/>
    </row>
    <row r="2187" spans="4:5" s="238" customFormat="1" ht="14.25" x14ac:dyDescent="0.2">
      <c r="D2187" s="257"/>
      <c r="E2187" s="257"/>
    </row>
    <row r="2188" spans="4:5" s="238" customFormat="1" ht="14.25" x14ac:dyDescent="0.2">
      <c r="D2188" s="257"/>
      <c r="E2188" s="257"/>
    </row>
    <row r="2189" spans="4:5" s="238" customFormat="1" ht="14.25" x14ac:dyDescent="0.2">
      <c r="D2189" s="257"/>
      <c r="E2189" s="257"/>
    </row>
    <row r="2190" spans="4:5" s="238" customFormat="1" ht="14.25" x14ac:dyDescent="0.2">
      <c r="D2190" s="257"/>
      <c r="E2190" s="257"/>
    </row>
    <row r="2191" spans="4:5" s="238" customFormat="1" ht="14.25" x14ac:dyDescent="0.2">
      <c r="D2191" s="257"/>
      <c r="E2191" s="257"/>
    </row>
    <row r="2192" spans="4:5" s="238" customFormat="1" ht="14.25" x14ac:dyDescent="0.2">
      <c r="D2192" s="257"/>
      <c r="E2192" s="257"/>
    </row>
    <row r="2193" spans="4:5" s="238" customFormat="1" ht="14.25" x14ac:dyDescent="0.2">
      <c r="D2193" s="257"/>
      <c r="E2193" s="257"/>
    </row>
    <row r="2194" spans="4:5" s="238" customFormat="1" ht="14.25" x14ac:dyDescent="0.2">
      <c r="D2194" s="257"/>
      <c r="E2194" s="257"/>
    </row>
    <row r="2195" spans="4:5" s="238" customFormat="1" ht="14.25" x14ac:dyDescent="0.2">
      <c r="D2195" s="257"/>
      <c r="E2195" s="257"/>
    </row>
    <row r="2196" spans="4:5" s="238" customFormat="1" ht="14.25" x14ac:dyDescent="0.2">
      <c r="D2196" s="257"/>
      <c r="E2196" s="257"/>
    </row>
    <row r="2197" spans="4:5" s="238" customFormat="1" ht="14.25" x14ac:dyDescent="0.2">
      <c r="D2197" s="257"/>
      <c r="E2197" s="257"/>
    </row>
    <row r="2198" spans="4:5" s="238" customFormat="1" ht="14.25" x14ac:dyDescent="0.2">
      <c r="D2198" s="257"/>
      <c r="E2198" s="257"/>
    </row>
    <row r="2199" spans="4:5" s="238" customFormat="1" ht="14.25" x14ac:dyDescent="0.2">
      <c r="D2199" s="257"/>
      <c r="E2199" s="257"/>
    </row>
    <row r="2200" spans="4:5" s="238" customFormat="1" ht="14.25" x14ac:dyDescent="0.2">
      <c r="D2200" s="257"/>
      <c r="E2200" s="257"/>
    </row>
    <row r="2201" spans="4:5" s="238" customFormat="1" ht="14.25" x14ac:dyDescent="0.2">
      <c r="D2201" s="257"/>
      <c r="E2201" s="257"/>
    </row>
    <row r="2202" spans="4:5" s="238" customFormat="1" ht="14.25" x14ac:dyDescent="0.2">
      <c r="D2202" s="257"/>
      <c r="E2202" s="257"/>
    </row>
    <row r="2203" spans="4:5" s="238" customFormat="1" ht="14.25" x14ac:dyDescent="0.2">
      <c r="D2203" s="257"/>
      <c r="E2203" s="257"/>
    </row>
    <row r="2204" spans="4:5" s="238" customFormat="1" ht="14.25" x14ac:dyDescent="0.2">
      <c r="D2204" s="257"/>
      <c r="E2204" s="257"/>
    </row>
    <row r="2205" spans="4:5" s="238" customFormat="1" ht="14.25" x14ac:dyDescent="0.2">
      <c r="D2205" s="257"/>
      <c r="E2205" s="257"/>
    </row>
    <row r="2206" spans="4:5" s="238" customFormat="1" ht="14.25" x14ac:dyDescent="0.2">
      <c r="D2206" s="257"/>
      <c r="E2206" s="257"/>
    </row>
    <row r="2207" spans="4:5" s="238" customFormat="1" ht="14.25" x14ac:dyDescent="0.2">
      <c r="D2207" s="257"/>
      <c r="E2207" s="257"/>
    </row>
    <row r="2208" spans="4:5" s="238" customFormat="1" ht="14.25" x14ac:dyDescent="0.2">
      <c r="D2208" s="257"/>
      <c r="E2208" s="257"/>
    </row>
    <row r="2209" spans="4:5" s="238" customFormat="1" ht="14.25" x14ac:dyDescent="0.2">
      <c r="D2209" s="257"/>
      <c r="E2209" s="257"/>
    </row>
    <row r="2210" spans="4:5" s="238" customFormat="1" ht="14.25" x14ac:dyDescent="0.2">
      <c r="D2210" s="257"/>
      <c r="E2210" s="257"/>
    </row>
    <row r="2211" spans="4:5" s="238" customFormat="1" ht="14.25" x14ac:dyDescent="0.2">
      <c r="D2211" s="257"/>
      <c r="E2211" s="257"/>
    </row>
    <row r="2212" spans="4:5" s="238" customFormat="1" ht="14.25" x14ac:dyDescent="0.2">
      <c r="D2212" s="257"/>
      <c r="E2212" s="257"/>
    </row>
    <row r="2213" spans="4:5" s="238" customFormat="1" ht="14.25" x14ac:dyDescent="0.2"/>
    <row r="2214" spans="4:5" s="238" customFormat="1" ht="14.25" x14ac:dyDescent="0.2"/>
    <row r="2215" spans="4:5" s="238" customFormat="1" ht="14.25" x14ac:dyDescent="0.2"/>
    <row r="2216" spans="4:5" s="238" customFormat="1" ht="14.25" x14ac:dyDescent="0.2"/>
    <row r="2217" spans="4:5" s="238" customFormat="1" ht="14.25" x14ac:dyDescent="0.2"/>
    <row r="2218" spans="4:5" s="238" customFormat="1" ht="14.25" x14ac:dyDescent="0.2"/>
    <row r="2219" spans="4:5" s="238" customFormat="1" ht="14.25" x14ac:dyDescent="0.2"/>
    <row r="2220" spans="4:5" s="238" customFormat="1" ht="14.25" x14ac:dyDescent="0.2"/>
    <row r="2221" spans="4:5" s="238" customFormat="1" ht="14.25" x14ac:dyDescent="0.2"/>
    <row r="2222" spans="4:5" s="238" customFormat="1" ht="14.25" x14ac:dyDescent="0.2"/>
    <row r="2223" spans="4:5" s="238" customFormat="1" ht="14.25" x14ac:dyDescent="0.2"/>
    <row r="2224" spans="4:5" s="238" customFormat="1" ht="14.25" x14ac:dyDescent="0.2"/>
    <row r="2225" s="238" customFormat="1" ht="14.25" x14ac:dyDescent="0.2"/>
    <row r="2226" s="238" customFormat="1" ht="14.25" x14ac:dyDescent="0.2"/>
    <row r="2227" s="238" customFormat="1" ht="14.25" x14ac:dyDescent="0.2"/>
    <row r="2228" s="238" customFormat="1" ht="14.25" x14ac:dyDescent="0.2"/>
    <row r="2229" s="238" customFormat="1" ht="14.25" x14ac:dyDescent="0.2"/>
    <row r="2230" s="238" customFormat="1" ht="14.25" x14ac:dyDescent="0.2"/>
    <row r="2231" s="238" customFormat="1" ht="14.25" x14ac:dyDescent="0.2"/>
    <row r="2232" s="238" customFormat="1" ht="14.25" x14ac:dyDescent="0.2"/>
    <row r="2233" s="238" customFormat="1" ht="14.25" x14ac:dyDescent="0.2"/>
    <row r="2234" s="238" customFormat="1" ht="14.25" x14ac:dyDescent="0.2"/>
    <row r="2235" s="238" customFormat="1" ht="14.25" x14ac:dyDescent="0.2"/>
    <row r="2236" s="238" customFormat="1" ht="14.25" x14ac:dyDescent="0.2"/>
    <row r="2237" s="238" customFormat="1" ht="14.25" x14ac:dyDescent="0.2"/>
    <row r="2238" s="238" customFormat="1" ht="14.25" x14ac:dyDescent="0.2"/>
    <row r="2239" s="238" customFormat="1" ht="14.25" x14ac:dyDescent="0.2"/>
    <row r="2240" s="238" customFormat="1" ht="14.25" x14ac:dyDescent="0.2"/>
    <row r="2241" s="238" customFormat="1" ht="14.25" x14ac:dyDescent="0.2"/>
    <row r="2242" s="238" customFormat="1" ht="14.25" x14ac:dyDescent="0.2"/>
    <row r="2243" s="238" customFormat="1" ht="14.25" x14ac:dyDescent="0.2"/>
    <row r="2244" s="238" customFormat="1" ht="14.25" x14ac:dyDescent="0.2"/>
    <row r="2245" s="238" customFormat="1" ht="14.25" x14ac:dyDescent="0.2"/>
    <row r="2246" s="238" customFormat="1" ht="14.25" x14ac:dyDescent="0.2"/>
    <row r="2247" s="238" customFormat="1" ht="14.25" x14ac:dyDescent="0.2"/>
    <row r="2248" s="238" customFormat="1" ht="14.25" x14ac:dyDescent="0.2"/>
    <row r="2249" s="238" customFormat="1" ht="14.25" x14ac:dyDescent="0.2"/>
    <row r="2250" s="238" customFormat="1" ht="14.25" x14ac:dyDescent="0.2"/>
    <row r="2251" s="238" customFormat="1" ht="14.25" x14ac:dyDescent="0.2"/>
    <row r="2252" s="238" customFormat="1" ht="14.25" x14ac:dyDescent="0.2"/>
    <row r="2253" s="238" customFormat="1" ht="14.25" x14ac:dyDescent="0.2"/>
    <row r="2254" s="238" customFormat="1" ht="14.25" x14ac:dyDescent="0.2"/>
    <row r="2255" s="238" customFormat="1" ht="14.25" x14ac:dyDescent="0.2"/>
    <row r="2256" s="238" customFormat="1" ht="14.25" x14ac:dyDescent="0.2"/>
    <row r="2257" s="238" customFormat="1" ht="14.25" x14ac:dyDescent="0.2"/>
    <row r="2258" s="238" customFormat="1" ht="14.25" x14ac:dyDescent="0.2"/>
    <row r="2259" s="238" customFormat="1" ht="14.25" x14ac:dyDescent="0.2"/>
    <row r="2260" s="238" customFormat="1" ht="14.25" x14ac:dyDescent="0.2"/>
    <row r="2261" s="238" customFormat="1" ht="14.25" x14ac:dyDescent="0.2"/>
    <row r="2262" s="238" customFormat="1" ht="14.25" x14ac:dyDescent="0.2"/>
    <row r="2263" s="238" customFormat="1" ht="14.25" x14ac:dyDescent="0.2"/>
    <row r="2264" s="238" customFormat="1" ht="14.25" x14ac:dyDescent="0.2"/>
    <row r="2265" s="238" customFormat="1" ht="14.25" x14ac:dyDescent="0.2"/>
    <row r="2266" s="238" customFormat="1" ht="14.25" x14ac:dyDescent="0.2"/>
    <row r="2267" s="238" customFormat="1" ht="14.25" x14ac:dyDescent="0.2"/>
    <row r="2268" s="238" customFormat="1" ht="14.25" x14ac:dyDescent="0.2"/>
    <row r="2269" s="238" customFormat="1" ht="14.25" x14ac:dyDescent="0.2"/>
    <row r="2270" s="238" customFormat="1" ht="14.25" x14ac:dyDescent="0.2"/>
    <row r="2271" s="238" customFormat="1" ht="14.25" x14ac:dyDescent="0.2"/>
    <row r="2272" s="238" customFormat="1" ht="14.25" x14ac:dyDescent="0.2"/>
    <row r="2273" s="238" customFormat="1" ht="14.25" x14ac:dyDescent="0.2"/>
    <row r="2274" s="238" customFormat="1" ht="14.25" x14ac:dyDescent="0.2"/>
    <row r="2275" s="238" customFormat="1" ht="14.25" x14ac:dyDescent="0.2"/>
    <row r="2276" s="238" customFormat="1" ht="14.25" x14ac:dyDescent="0.2"/>
    <row r="2277" s="238" customFormat="1" ht="14.25" x14ac:dyDescent="0.2"/>
    <row r="2278" s="238" customFormat="1" ht="14.25" x14ac:dyDescent="0.2"/>
    <row r="2279" s="238" customFormat="1" ht="14.25" x14ac:dyDescent="0.2"/>
    <row r="2280" s="238" customFormat="1" ht="14.25" x14ac:dyDescent="0.2"/>
    <row r="2281" s="238" customFormat="1" ht="14.25" x14ac:dyDescent="0.2"/>
    <row r="2282" s="238" customFormat="1" ht="14.25" x14ac:dyDescent="0.2"/>
    <row r="2283" s="238" customFormat="1" ht="14.25" x14ac:dyDescent="0.2"/>
    <row r="2284" s="238" customFormat="1" ht="14.25" x14ac:dyDescent="0.2"/>
    <row r="2285" s="238" customFormat="1" ht="14.25" x14ac:dyDescent="0.2"/>
    <row r="2286" s="238" customFormat="1" ht="14.25" x14ac:dyDescent="0.2"/>
    <row r="2287" s="238" customFormat="1" ht="14.25" x14ac:dyDescent="0.2"/>
    <row r="2288" s="238" customFormat="1" ht="14.25" x14ac:dyDescent="0.2"/>
    <row r="2289" s="238" customFormat="1" ht="14.25" x14ac:dyDescent="0.2"/>
    <row r="2290" s="238" customFormat="1" ht="14.25" x14ac:dyDescent="0.2"/>
    <row r="2291" s="238" customFormat="1" ht="14.25" x14ac:dyDescent="0.2"/>
    <row r="2292" s="238" customFormat="1" ht="14.25" x14ac:dyDescent="0.2"/>
    <row r="2293" s="238" customFormat="1" ht="14.25" x14ac:dyDescent="0.2"/>
    <row r="2294" s="238" customFormat="1" ht="14.25" x14ac:dyDescent="0.2"/>
    <row r="2295" s="238" customFormat="1" ht="14.25" x14ac:dyDescent="0.2"/>
    <row r="2296" s="238" customFormat="1" ht="14.25" x14ac:dyDescent="0.2"/>
    <row r="2297" s="238" customFormat="1" ht="14.25" x14ac:dyDescent="0.2"/>
    <row r="2298" s="238" customFormat="1" ht="14.25" x14ac:dyDescent="0.2"/>
    <row r="2299" s="238" customFormat="1" ht="14.25" x14ac:dyDescent="0.2"/>
    <row r="2300" s="238" customFormat="1" ht="14.25" x14ac:dyDescent="0.2"/>
    <row r="2301" s="238" customFormat="1" ht="14.25" x14ac:dyDescent="0.2"/>
    <row r="2302" s="238" customFormat="1" ht="14.25" x14ac:dyDescent="0.2"/>
    <row r="2303" s="238" customFormat="1" ht="14.25" x14ac:dyDescent="0.2"/>
    <row r="2304" s="238" customFormat="1" ht="14.25" x14ac:dyDescent="0.2"/>
    <row r="2305" s="238" customFormat="1" ht="14.25" x14ac:dyDescent="0.2"/>
    <row r="2306" s="238" customFormat="1" ht="14.25" x14ac:dyDescent="0.2"/>
    <row r="2307" s="238" customFormat="1" ht="14.25" x14ac:dyDescent="0.2"/>
    <row r="2308" s="238" customFormat="1" ht="14.25" x14ac:dyDescent="0.2"/>
    <row r="2309" s="238" customFormat="1" ht="14.25" x14ac:dyDescent="0.2"/>
    <row r="2310" s="238" customFormat="1" ht="14.25" x14ac:dyDescent="0.2"/>
    <row r="2311" s="238" customFormat="1" ht="14.25" x14ac:dyDescent="0.2"/>
    <row r="2312" s="238" customFormat="1" ht="14.25" x14ac:dyDescent="0.2"/>
    <row r="2313" s="238" customFormat="1" ht="14.25" x14ac:dyDescent="0.2"/>
    <row r="2314" s="238" customFormat="1" ht="14.25" x14ac:dyDescent="0.2"/>
    <row r="2315" s="238" customFormat="1" ht="14.25" x14ac:dyDescent="0.2"/>
    <row r="2316" s="238" customFormat="1" ht="14.25" x14ac:dyDescent="0.2"/>
    <row r="2317" s="238" customFormat="1" ht="14.25" x14ac:dyDescent="0.2"/>
    <row r="2318" s="238" customFormat="1" ht="14.25" x14ac:dyDescent="0.2"/>
    <row r="2319" s="238" customFormat="1" ht="14.25" x14ac:dyDescent="0.2"/>
    <row r="2320" s="238" customFormat="1" ht="14.25" x14ac:dyDescent="0.2"/>
    <row r="2321" s="238" customFormat="1" ht="14.25" x14ac:dyDescent="0.2"/>
    <row r="2322" s="238" customFormat="1" ht="14.25" x14ac:dyDescent="0.2"/>
    <row r="2323" s="238" customFormat="1" ht="14.25" x14ac:dyDescent="0.2"/>
    <row r="2324" s="238" customFormat="1" ht="14.25" x14ac:dyDescent="0.2"/>
    <row r="2325" s="238" customFormat="1" ht="14.25" x14ac:dyDescent="0.2"/>
    <row r="2326" s="238" customFormat="1" ht="14.25" x14ac:dyDescent="0.2"/>
    <row r="2327" s="238" customFormat="1" ht="14.25" x14ac:dyDescent="0.2"/>
    <row r="2328" s="238" customFormat="1" ht="14.25" x14ac:dyDescent="0.2"/>
    <row r="2329" s="238" customFormat="1" ht="14.25" x14ac:dyDescent="0.2"/>
    <row r="2330" s="238" customFormat="1" ht="14.25" x14ac:dyDescent="0.2"/>
    <row r="2331" s="238" customFormat="1" ht="14.25" x14ac:dyDescent="0.2"/>
    <row r="2332" s="238" customFormat="1" ht="14.25" x14ac:dyDescent="0.2"/>
    <row r="2333" s="238" customFormat="1" ht="14.25" x14ac:dyDescent="0.2"/>
    <row r="2334" s="238" customFormat="1" ht="14.25" x14ac:dyDescent="0.2"/>
    <row r="2335" s="238" customFormat="1" ht="14.25" x14ac:dyDescent="0.2"/>
    <row r="2336" s="238" customFormat="1" ht="14.25" x14ac:dyDescent="0.2"/>
    <row r="2337" s="238" customFormat="1" ht="14.25" x14ac:dyDescent="0.2"/>
    <row r="2338" s="238" customFormat="1" ht="14.25" x14ac:dyDescent="0.2"/>
    <row r="2339" s="238" customFormat="1" ht="14.25" x14ac:dyDescent="0.2"/>
    <row r="2340" s="238" customFormat="1" ht="14.25" x14ac:dyDescent="0.2"/>
    <row r="2341" s="238" customFormat="1" ht="14.25" x14ac:dyDescent="0.2"/>
    <row r="2342" s="238" customFormat="1" ht="14.25" x14ac:dyDescent="0.2"/>
    <row r="2343" s="238" customFormat="1" ht="14.25" x14ac:dyDescent="0.2"/>
    <row r="2344" s="238" customFormat="1" ht="14.25" x14ac:dyDescent="0.2"/>
    <row r="2345" s="238" customFormat="1" ht="14.25" x14ac:dyDescent="0.2"/>
    <row r="2346" s="238" customFormat="1" ht="14.25" x14ac:dyDescent="0.2"/>
    <row r="2347" s="238" customFormat="1" ht="14.25" x14ac:dyDescent="0.2"/>
    <row r="2348" s="238" customFormat="1" ht="14.25" x14ac:dyDescent="0.2"/>
    <row r="2349" s="238" customFormat="1" ht="14.25" x14ac:dyDescent="0.2"/>
    <row r="2350" s="238" customFormat="1" ht="14.25" x14ac:dyDescent="0.2"/>
    <row r="2351" s="238" customFormat="1" ht="14.25" x14ac:dyDescent="0.2"/>
    <row r="2352" s="238" customFormat="1" ht="14.25" x14ac:dyDescent="0.2"/>
    <row r="2353" s="238" customFormat="1" ht="14.25" x14ac:dyDescent="0.2"/>
    <row r="2354" s="238" customFormat="1" ht="14.25" x14ac:dyDescent="0.2"/>
    <row r="2355" s="238" customFormat="1" ht="14.25" x14ac:dyDescent="0.2"/>
    <row r="2356" s="238" customFormat="1" ht="14.25" x14ac:dyDescent="0.2"/>
    <row r="2357" s="238" customFormat="1" ht="14.25" x14ac:dyDescent="0.2"/>
    <row r="2358" s="238" customFormat="1" ht="14.25" x14ac:dyDescent="0.2"/>
    <row r="2359" s="238" customFormat="1" ht="14.25" x14ac:dyDescent="0.2"/>
    <row r="2360" s="238" customFormat="1" ht="14.25" x14ac:dyDescent="0.2"/>
    <row r="2361" s="238" customFormat="1" ht="14.25" x14ac:dyDescent="0.2"/>
    <row r="2362" s="238" customFormat="1" ht="14.25" x14ac:dyDescent="0.2"/>
    <row r="2363" s="238" customFormat="1" ht="14.25" x14ac:dyDescent="0.2"/>
    <row r="2364" s="238" customFormat="1" ht="14.25" x14ac:dyDescent="0.2"/>
    <row r="2365" s="238" customFormat="1" ht="14.25" x14ac:dyDescent="0.2"/>
    <row r="2366" s="238" customFormat="1" ht="14.25" x14ac:dyDescent="0.2"/>
    <row r="2367" s="238" customFormat="1" ht="14.25" x14ac:dyDescent="0.2"/>
    <row r="2368" s="238" customFormat="1" ht="14.25" x14ac:dyDescent="0.2"/>
    <row r="2369" s="238" customFormat="1" ht="14.25" x14ac:dyDescent="0.2"/>
    <row r="2370" s="238" customFormat="1" ht="14.25" x14ac:dyDescent="0.2"/>
    <row r="2371" s="238" customFormat="1" ht="14.25" x14ac:dyDescent="0.2"/>
    <row r="2372" s="238" customFormat="1" ht="14.25" x14ac:dyDescent="0.2"/>
    <row r="2373" s="238" customFormat="1" ht="14.25" x14ac:dyDescent="0.2"/>
    <row r="2374" s="238" customFormat="1" ht="14.25" x14ac:dyDescent="0.2"/>
    <row r="2375" s="238" customFormat="1" ht="14.25" x14ac:dyDescent="0.2"/>
    <row r="2376" s="238" customFormat="1" ht="14.25" x14ac:dyDescent="0.2"/>
    <row r="2377" s="238" customFormat="1" ht="14.25" x14ac:dyDescent="0.2"/>
    <row r="2378" s="238" customFormat="1" ht="14.25" x14ac:dyDescent="0.2"/>
    <row r="2379" s="238" customFormat="1" ht="14.25" x14ac:dyDescent="0.2"/>
    <row r="2380" s="238" customFormat="1" ht="14.25" x14ac:dyDescent="0.2"/>
    <row r="2381" s="238" customFormat="1" ht="14.25" x14ac:dyDescent="0.2"/>
    <row r="2382" s="238" customFormat="1" ht="14.25" x14ac:dyDescent="0.2"/>
    <row r="2383" s="238" customFormat="1" ht="14.25" x14ac:dyDescent="0.2"/>
    <row r="2384" s="238" customFormat="1" ht="14.25" x14ac:dyDescent="0.2"/>
    <row r="2385" s="238" customFormat="1" ht="14.25" x14ac:dyDescent="0.2"/>
    <row r="2386" s="238" customFormat="1" ht="14.25" x14ac:dyDescent="0.2"/>
    <row r="2387" s="238" customFormat="1" ht="14.25" x14ac:dyDescent="0.2"/>
    <row r="2388" s="238" customFormat="1" ht="14.25" x14ac:dyDescent="0.2"/>
    <row r="2389" s="238" customFormat="1" ht="14.25" x14ac:dyDescent="0.2"/>
    <row r="2390" s="238" customFormat="1" ht="14.25" x14ac:dyDescent="0.2"/>
    <row r="2391" s="238" customFormat="1" ht="14.25" x14ac:dyDescent="0.2"/>
    <row r="2392" s="238" customFormat="1" ht="14.25" x14ac:dyDescent="0.2"/>
    <row r="2393" s="238" customFormat="1" ht="14.25" x14ac:dyDescent="0.2"/>
    <row r="2394" s="238" customFormat="1" ht="14.25" x14ac:dyDescent="0.2"/>
    <row r="2395" s="238" customFormat="1" ht="14.25" x14ac:dyDescent="0.2"/>
    <row r="2396" s="238" customFormat="1" ht="14.25" x14ac:dyDescent="0.2"/>
    <row r="2397" s="238" customFormat="1" ht="14.25" x14ac:dyDescent="0.2"/>
    <row r="2398" s="238" customFormat="1" ht="14.25" x14ac:dyDescent="0.2"/>
    <row r="2399" s="238" customFormat="1" ht="14.25" x14ac:dyDescent="0.2"/>
    <row r="2400" s="238" customFormat="1" ht="14.25" x14ac:dyDescent="0.2"/>
    <row r="2401" s="238" customFormat="1" ht="14.25" x14ac:dyDescent="0.2"/>
    <row r="2402" s="238" customFormat="1" ht="14.25" x14ac:dyDescent="0.2"/>
    <row r="2403" s="238" customFormat="1" ht="14.25" x14ac:dyDescent="0.2"/>
    <row r="2404" s="238" customFormat="1" ht="14.25" x14ac:dyDescent="0.2"/>
    <row r="2405" s="238" customFormat="1" ht="14.25" x14ac:dyDescent="0.2"/>
    <row r="2406" s="238" customFormat="1" ht="14.25" x14ac:dyDescent="0.2"/>
    <row r="2407" s="238" customFormat="1" ht="14.25" x14ac:dyDescent="0.2"/>
    <row r="2408" s="238" customFormat="1" ht="14.25" x14ac:dyDescent="0.2"/>
    <row r="2409" s="238" customFormat="1" ht="14.25" x14ac:dyDescent="0.2"/>
    <row r="2410" s="238" customFormat="1" ht="14.25" x14ac:dyDescent="0.2"/>
    <row r="2411" s="238" customFormat="1" ht="14.25" x14ac:dyDescent="0.2"/>
    <row r="2412" s="238" customFormat="1" ht="14.25" x14ac:dyDescent="0.2"/>
    <row r="2413" s="238" customFormat="1" ht="14.25" x14ac:dyDescent="0.2"/>
    <row r="2414" s="238" customFormat="1" ht="14.25" x14ac:dyDescent="0.2"/>
    <row r="2415" s="238" customFormat="1" ht="14.25" x14ac:dyDescent="0.2"/>
    <row r="2416" s="238" customFormat="1" ht="14.25" x14ac:dyDescent="0.2"/>
    <row r="2417" s="238" customFormat="1" ht="14.25" x14ac:dyDescent="0.2"/>
    <row r="2418" s="238" customFormat="1" ht="14.25" x14ac:dyDescent="0.2"/>
    <row r="2419" s="238" customFormat="1" ht="14.25" x14ac:dyDescent="0.2"/>
    <row r="2420" s="238" customFormat="1" ht="14.25" x14ac:dyDescent="0.2"/>
    <row r="2421" s="238" customFormat="1" ht="14.25" x14ac:dyDescent="0.2"/>
    <row r="2422" s="238" customFormat="1" ht="14.25" x14ac:dyDescent="0.2"/>
    <row r="2423" s="238" customFormat="1" ht="14.25" x14ac:dyDescent="0.2"/>
    <row r="2424" s="238" customFormat="1" ht="14.25" x14ac:dyDescent="0.2"/>
    <row r="2425" s="238" customFormat="1" ht="14.25" x14ac:dyDescent="0.2"/>
    <row r="2426" s="238" customFormat="1" ht="14.25" x14ac:dyDescent="0.2"/>
    <row r="2427" s="238" customFormat="1" ht="14.25" x14ac:dyDescent="0.2"/>
    <row r="2428" s="238" customFormat="1" ht="14.25" x14ac:dyDescent="0.2"/>
    <row r="2429" s="238" customFormat="1" ht="14.25" x14ac:dyDescent="0.2"/>
    <row r="2430" s="238" customFormat="1" ht="14.25" x14ac:dyDescent="0.2"/>
    <row r="2431" s="238" customFormat="1" ht="14.25" x14ac:dyDescent="0.2"/>
    <row r="2432" s="238" customFormat="1" ht="14.25" x14ac:dyDescent="0.2"/>
    <row r="2433" s="238" customFormat="1" ht="14.25" x14ac:dyDescent="0.2"/>
    <row r="2434" s="238" customFormat="1" ht="14.25" x14ac:dyDescent="0.2"/>
    <row r="2435" s="238" customFormat="1" ht="14.25" x14ac:dyDescent="0.2"/>
    <row r="2436" s="238" customFormat="1" ht="14.25" x14ac:dyDescent="0.2"/>
    <row r="2437" s="238" customFormat="1" ht="14.25" x14ac:dyDescent="0.2"/>
    <row r="2438" s="238" customFormat="1" ht="14.25" x14ac:dyDescent="0.2"/>
    <row r="2439" s="238" customFormat="1" ht="14.25" x14ac:dyDescent="0.2"/>
    <row r="2440" s="238" customFormat="1" ht="14.25" x14ac:dyDescent="0.2"/>
    <row r="2441" s="238" customFormat="1" ht="14.25" x14ac:dyDescent="0.2"/>
    <row r="2442" s="238" customFormat="1" ht="14.25" x14ac:dyDescent="0.2"/>
    <row r="2443" s="238" customFormat="1" ht="14.25" x14ac:dyDescent="0.2"/>
    <row r="2444" s="238" customFormat="1" ht="14.25" x14ac:dyDescent="0.2"/>
    <row r="2445" s="238" customFormat="1" ht="14.25" x14ac:dyDescent="0.2"/>
    <row r="2446" s="238" customFormat="1" ht="14.25" x14ac:dyDescent="0.2"/>
    <row r="2447" s="238" customFormat="1" ht="14.25" x14ac:dyDescent="0.2"/>
    <row r="2448" s="238" customFormat="1" ht="14.25" x14ac:dyDescent="0.2"/>
    <row r="2449" s="238" customFormat="1" ht="14.25" x14ac:dyDescent="0.2"/>
    <row r="2450" s="238" customFormat="1" ht="14.25" x14ac:dyDescent="0.2"/>
    <row r="2451" s="238" customFormat="1" ht="14.25" x14ac:dyDescent="0.2"/>
    <row r="2452" s="238" customFormat="1" ht="14.25" x14ac:dyDescent="0.2"/>
    <row r="2453" s="238" customFormat="1" ht="14.25" x14ac:dyDescent="0.2"/>
    <row r="2454" s="238" customFormat="1" ht="14.25" x14ac:dyDescent="0.2"/>
    <row r="2455" s="238" customFormat="1" ht="14.25" x14ac:dyDescent="0.2"/>
    <row r="2456" s="238" customFormat="1" ht="14.25" x14ac:dyDescent="0.2"/>
    <row r="2457" s="238" customFormat="1" ht="14.25" x14ac:dyDescent="0.2"/>
    <row r="2458" s="238" customFormat="1" ht="14.25" x14ac:dyDescent="0.2"/>
    <row r="2459" s="238" customFormat="1" ht="14.25" x14ac:dyDescent="0.2"/>
    <row r="2460" s="238" customFormat="1" ht="14.25" x14ac:dyDescent="0.2"/>
    <row r="2461" s="238" customFormat="1" ht="14.25" x14ac:dyDescent="0.2"/>
    <row r="2462" s="238" customFormat="1" ht="14.25" x14ac:dyDescent="0.2"/>
    <row r="2463" s="238" customFormat="1" ht="14.25" x14ac:dyDescent="0.2"/>
    <row r="2464" s="238" customFormat="1" ht="14.25" x14ac:dyDescent="0.2"/>
    <row r="2465" s="238" customFormat="1" ht="14.25" x14ac:dyDescent="0.2"/>
    <row r="2466" s="238" customFormat="1" ht="14.25" x14ac:dyDescent="0.2"/>
    <row r="2467" s="238" customFormat="1" ht="14.25" x14ac:dyDescent="0.2"/>
    <row r="2468" s="238" customFormat="1" ht="14.25" x14ac:dyDescent="0.2"/>
    <row r="2469" s="238" customFormat="1" ht="14.25" x14ac:dyDescent="0.2"/>
    <row r="2470" s="238" customFormat="1" ht="14.25" x14ac:dyDescent="0.2"/>
    <row r="2471" s="238" customFormat="1" ht="14.25" x14ac:dyDescent="0.2"/>
    <row r="2472" s="238" customFormat="1" ht="14.25" x14ac:dyDescent="0.2"/>
    <row r="2473" s="238" customFormat="1" ht="14.25" x14ac:dyDescent="0.2"/>
    <row r="2474" s="238" customFormat="1" ht="14.25" x14ac:dyDescent="0.2"/>
    <row r="2475" s="238" customFormat="1" ht="14.25" x14ac:dyDescent="0.2"/>
    <row r="2476" s="238" customFormat="1" ht="14.25" x14ac:dyDescent="0.2"/>
    <row r="2477" s="238" customFormat="1" ht="14.25" x14ac:dyDescent="0.2"/>
    <row r="2478" s="238" customFormat="1" ht="14.25" x14ac:dyDescent="0.2"/>
    <row r="2479" s="238" customFormat="1" ht="14.25" x14ac:dyDescent="0.2"/>
    <row r="2480" s="238" customFormat="1" ht="14.25" x14ac:dyDescent="0.2"/>
    <row r="2481" s="238" customFormat="1" ht="14.25" x14ac:dyDescent="0.2"/>
    <row r="2482" s="238" customFormat="1" ht="14.25" x14ac:dyDescent="0.2"/>
    <row r="2483" s="238" customFormat="1" ht="14.25" x14ac:dyDescent="0.2"/>
    <row r="2484" s="238" customFormat="1" ht="14.25" x14ac:dyDescent="0.2"/>
    <row r="2485" s="238" customFormat="1" ht="14.25" x14ac:dyDescent="0.2"/>
    <row r="2486" s="238" customFormat="1" ht="14.25" x14ac:dyDescent="0.2"/>
    <row r="2487" s="238" customFormat="1" ht="14.25" x14ac:dyDescent="0.2"/>
    <row r="2488" s="238" customFormat="1" ht="14.25" x14ac:dyDescent="0.2"/>
    <row r="2489" s="238" customFormat="1" ht="14.25" x14ac:dyDescent="0.2"/>
    <row r="2490" s="238" customFormat="1" ht="14.25" x14ac:dyDescent="0.2"/>
    <row r="2491" s="238" customFormat="1" ht="14.25" x14ac:dyDescent="0.2"/>
    <row r="2492" s="238" customFormat="1" ht="14.25" x14ac:dyDescent="0.2"/>
    <row r="2493" s="238" customFormat="1" ht="14.25" x14ac:dyDescent="0.2"/>
    <row r="2494" s="238" customFormat="1" ht="14.25" x14ac:dyDescent="0.2"/>
    <row r="2495" s="238" customFormat="1" ht="14.25" x14ac:dyDescent="0.2"/>
    <row r="2496" s="238" customFormat="1" ht="14.25" x14ac:dyDescent="0.2"/>
    <row r="2497" s="238" customFormat="1" ht="14.25" x14ac:dyDescent="0.2"/>
    <row r="2498" s="238" customFormat="1" ht="14.25" x14ac:dyDescent="0.2"/>
    <row r="2499" s="238" customFormat="1" ht="14.25" x14ac:dyDescent="0.2"/>
    <row r="2500" s="238" customFormat="1" ht="14.25" x14ac:dyDescent="0.2"/>
    <row r="2501" s="238" customFormat="1" ht="14.25" x14ac:dyDescent="0.2"/>
    <row r="2502" s="238" customFormat="1" ht="14.25" x14ac:dyDescent="0.2"/>
    <row r="2503" s="238" customFormat="1" ht="14.25" x14ac:dyDescent="0.2"/>
    <row r="2504" s="238" customFormat="1" ht="14.25" x14ac:dyDescent="0.2"/>
    <row r="2505" s="238" customFormat="1" ht="14.25" x14ac:dyDescent="0.2"/>
    <row r="2506" s="238" customFormat="1" ht="14.25" x14ac:dyDescent="0.2"/>
    <row r="2507" s="238" customFormat="1" ht="14.25" x14ac:dyDescent="0.2"/>
    <row r="2508" s="238" customFormat="1" ht="14.25" x14ac:dyDescent="0.2"/>
    <row r="2509" s="238" customFormat="1" ht="14.25" x14ac:dyDescent="0.2"/>
    <row r="2510" s="238" customFormat="1" ht="14.25" x14ac:dyDescent="0.2"/>
    <row r="2511" s="238" customFormat="1" ht="14.25" x14ac:dyDescent="0.2"/>
    <row r="2512" s="238" customFormat="1" ht="14.25" x14ac:dyDescent="0.2"/>
    <row r="2513" s="238" customFormat="1" ht="14.25" x14ac:dyDescent="0.2"/>
    <row r="2514" s="238" customFormat="1" ht="14.25" x14ac:dyDescent="0.2"/>
    <row r="2515" s="238" customFormat="1" ht="14.25" x14ac:dyDescent="0.2"/>
    <row r="2516" s="238" customFormat="1" ht="14.25" x14ac:dyDescent="0.2"/>
    <row r="2517" s="238" customFormat="1" ht="14.25" x14ac:dyDescent="0.2"/>
    <row r="2518" s="238" customFormat="1" ht="14.25" x14ac:dyDescent="0.2"/>
    <row r="2519" s="238" customFormat="1" ht="14.25" x14ac:dyDescent="0.2"/>
    <row r="2520" s="238" customFormat="1" ht="14.25" x14ac:dyDescent="0.2"/>
    <row r="2521" s="238" customFormat="1" ht="14.25" x14ac:dyDescent="0.2"/>
    <row r="2522" s="238" customFormat="1" ht="14.25" x14ac:dyDescent="0.2"/>
    <row r="2523" s="238" customFormat="1" ht="14.25" x14ac:dyDescent="0.2"/>
    <row r="2524" s="238" customFormat="1" ht="14.25" x14ac:dyDescent="0.2"/>
    <row r="2525" s="238" customFormat="1" ht="14.25" x14ac:dyDescent="0.2"/>
    <row r="2526" s="238" customFormat="1" ht="14.25" x14ac:dyDescent="0.2"/>
    <row r="2527" s="238" customFormat="1" ht="14.25" x14ac:dyDescent="0.2"/>
    <row r="2528" s="238" customFormat="1" ht="14.25" x14ac:dyDescent="0.2"/>
    <row r="2529" s="238" customFormat="1" ht="14.25" x14ac:dyDescent="0.2"/>
    <row r="2530" s="238" customFormat="1" ht="14.25" x14ac:dyDescent="0.2"/>
    <row r="2531" s="238" customFormat="1" ht="14.25" x14ac:dyDescent="0.2"/>
    <row r="2532" s="238" customFormat="1" ht="14.25" x14ac:dyDescent="0.2"/>
    <row r="2533" s="238" customFormat="1" ht="14.25" x14ac:dyDescent="0.2"/>
    <row r="2534" s="238" customFormat="1" ht="14.25" x14ac:dyDescent="0.2"/>
    <row r="2535" s="238" customFormat="1" ht="14.25" x14ac:dyDescent="0.2"/>
    <row r="2536" s="238" customFormat="1" ht="14.25" x14ac:dyDescent="0.2"/>
    <row r="2537" s="238" customFormat="1" ht="14.25" x14ac:dyDescent="0.2"/>
    <row r="2538" s="238" customFormat="1" ht="14.25" x14ac:dyDescent="0.2"/>
    <row r="2539" s="238" customFormat="1" ht="14.25" x14ac:dyDescent="0.2"/>
    <row r="2540" s="238" customFormat="1" ht="14.25" x14ac:dyDescent="0.2"/>
    <row r="2541" s="238" customFormat="1" ht="14.25" x14ac:dyDescent="0.2"/>
    <row r="2542" s="238" customFormat="1" ht="14.25" x14ac:dyDescent="0.2"/>
    <row r="2543" s="238" customFormat="1" ht="14.25" x14ac:dyDescent="0.2"/>
    <row r="2544" s="238" customFormat="1" ht="14.25" x14ac:dyDescent="0.2"/>
    <row r="2545" s="238" customFormat="1" ht="14.25" x14ac:dyDescent="0.2"/>
    <row r="2546" s="238" customFormat="1" ht="14.25" x14ac:dyDescent="0.2"/>
    <row r="2547" s="238" customFormat="1" ht="14.25" x14ac:dyDescent="0.2"/>
    <row r="2548" s="238" customFormat="1" ht="14.25" x14ac:dyDescent="0.2"/>
    <row r="2549" s="238" customFormat="1" ht="14.25" x14ac:dyDescent="0.2"/>
    <row r="2550" s="238" customFormat="1" ht="14.25" x14ac:dyDescent="0.2"/>
    <row r="2551" s="238" customFormat="1" ht="14.25" x14ac:dyDescent="0.2"/>
    <row r="2552" s="238" customFormat="1" ht="14.25" x14ac:dyDescent="0.2"/>
    <row r="2553" s="238" customFormat="1" ht="14.25" x14ac:dyDescent="0.2"/>
    <row r="2554" s="238" customFormat="1" ht="14.25" x14ac:dyDescent="0.2"/>
    <row r="2555" s="238" customFormat="1" ht="14.25" x14ac:dyDescent="0.2"/>
    <row r="2556" s="238" customFormat="1" ht="14.25" x14ac:dyDescent="0.2"/>
    <row r="2557" s="238" customFormat="1" ht="14.25" x14ac:dyDescent="0.2"/>
    <row r="2558" s="238" customFormat="1" ht="14.25" x14ac:dyDescent="0.2"/>
    <row r="2559" s="238" customFormat="1" ht="14.25" x14ac:dyDescent="0.2"/>
    <row r="2560" s="238" customFormat="1" ht="14.25" x14ac:dyDescent="0.2"/>
    <row r="2561" s="238" customFormat="1" ht="14.25" x14ac:dyDescent="0.2"/>
    <row r="2562" s="238" customFormat="1" ht="14.25" x14ac:dyDescent="0.2"/>
    <row r="2563" s="238" customFormat="1" ht="14.25" x14ac:dyDescent="0.2"/>
    <row r="2564" s="238" customFormat="1" ht="14.25" x14ac:dyDescent="0.2"/>
    <row r="2565" s="238" customFormat="1" ht="14.25" x14ac:dyDescent="0.2"/>
    <row r="2566" s="238" customFormat="1" ht="14.25" x14ac:dyDescent="0.2"/>
    <row r="2567" s="238" customFormat="1" ht="14.25" x14ac:dyDescent="0.2"/>
    <row r="2568" s="238" customFormat="1" ht="14.25" x14ac:dyDescent="0.2"/>
    <row r="2569" s="238" customFormat="1" ht="14.25" x14ac:dyDescent="0.2"/>
    <row r="2570" s="238" customFormat="1" ht="14.25" x14ac:dyDescent="0.2"/>
    <row r="2571" s="238" customFormat="1" ht="14.25" x14ac:dyDescent="0.2"/>
    <row r="2572" s="238" customFormat="1" ht="14.25" x14ac:dyDescent="0.2"/>
    <row r="2573" s="238" customFormat="1" ht="14.25" x14ac:dyDescent="0.2"/>
    <row r="2574" s="238" customFormat="1" ht="14.25" x14ac:dyDescent="0.2"/>
    <row r="2575" s="238" customFormat="1" ht="14.25" x14ac:dyDescent="0.2"/>
    <row r="2576" s="238" customFormat="1" ht="14.25" x14ac:dyDescent="0.2"/>
    <row r="2577" s="238" customFormat="1" ht="14.25" x14ac:dyDescent="0.2"/>
    <row r="2578" s="238" customFormat="1" ht="14.25" x14ac:dyDescent="0.2"/>
    <row r="2579" s="238" customFormat="1" ht="14.25" x14ac:dyDescent="0.2"/>
    <row r="2580" s="238" customFormat="1" ht="14.25" x14ac:dyDescent="0.2"/>
    <row r="2581" s="238" customFormat="1" ht="14.25" x14ac:dyDescent="0.2"/>
    <row r="2582" s="238" customFormat="1" ht="14.25" x14ac:dyDescent="0.2"/>
    <row r="2583" s="238" customFormat="1" ht="14.25" x14ac:dyDescent="0.2"/>
    <row r="2584" s="238" customFormat="1" ht="14.25" x14ac:dyDescent="0.2"/>
    <row r="2585" s="238" customFormat="1" ht="14.25" x14ac:dyDescent="0.2"/>
    <row r="2586" s="238" customFormat="1" ht="14.25" x14ac:dyDescent="0.2"/>
    <row r="2587" s="238" customFormat="1" ht="14.25" x14ac:dyDescent="0.2"/>
    <row r="2588" s="238" customFormat="1" ht="14.25" x14ac:dyDescent="0.2"/>
    <row r="2589" s="238" customFormat="1" ht="14.25" x14ac:dyDescent="0.2"/>
    <row r="2590" s="238" customFormat="1" ht="14.25" x14ac:dyDescent="0.2"/>
    <row r="2591" s="238" customFormat="1" ht="14.25" x14ac:dyDescent="0.2"/>
    <row r="2592" s="238" customFormat="1" ht="14.25" x14ac:dyDescent="0.2"/>
    <row r="2593" s="238" customFormat="1" ht="14.25" x14ac:dyDescent="0.2"/>
    <row r="2594" s="238" customFormat="1" ht="14.25" x14ac:dyDescent="0.2"/>
    <row r="2595" s="238" customFormat="1" ht="14.25" x14ac:dyDescent="0.2"/>
    <row r="2596" s="238" customFormat="1" ht="14.25" x14ac:dyDescent="0.2"/>
    <row r="2597" s="238" customFormat="1" ht="14.25" x14ac:dyDescent="0.2"/>
    <row r="2598" s="238" customFormat="1" ht="14.25" x14ac:dyDescent="0.2"/>
    <row r="2599" s="238" customFormat="1" ht="14.25" x14ac:dyDescent="0.2"/>
    <row r="2600" s="238" customFormat="1" ht="14.25" x14ac:dyDescent="0.2"/>
    <row r="2601" s="238" customFormat="1" ht="14.25" x14ac:dyDescent="0.2"/>
    <row r="2602" s="238" customFormat="1" ht="14.25" x14ac:dyDescent="0.2"/>
    <row r="2603" s="238" customFormat="1" ht="14.25" x14ac:dyDescent="0.2"/>
    <row r="2604" s="238" customFormat="1" ht="14.25" x14ac:dyDescent="0.2"/>
    <row r="2605" s="238" customFormat="1" ht="14.25" x14ac:dyDescent="0.2"/>
    <row r="2606" s="238" customFormat="1" ht="14.25" x14ac:dyDescent="0.2"/>
    <row r="2607" s="238" customFormat="1" ht="14.25" x14ac:dyDescent="0.2"/>
    <row r="2608" s="238" customFormat="1" ht="14.25" x14ac:dyDescent="0.2"/>
    <row r="2609" s="238" customFormat="1" ht="14.25" x14ac:dyDescent="0.2"/>
    <row r="2610" s="238" customFormat="1" ht="14.25" x14ac:dyDescent="0.2"/>
    <row r="2611" s="238" customFormat="1" ht="14.25" x14ac:dyDescent="0.2"/>
    <row r="2612" s="238" customFormat="1" ht="14.25" x14ac:dyDescent="0.2"/>
    <row r="2613" s="238" customFormat="1" ht="14.25" x14ac:dyDescent="0.2"/>
    <row r="2614" s="238" customFormat="1" ht="14.25" x14ac:dyDescent="0.2"/>
    <row r="2615" s="238" customFormat="1" ht="14.25" x14ac:dyDescent="0.2"/>
    <row r="2616" s="238" customFormat="1" ht="14.25" x14ac:dyDescent="0.2"/>
    <row r="2617" s="238" customFormat="1" ht="14.25" x14ac:dyDescent="0.2"/>
    <row r="2618" s="238" customFormat="1" ht="14.25" x14ac:dyDescent="0.2"/>
    <row r="2619" s="238" customFormat="1" ht="14.25" x14ac:dyDescent="0.2"/>
    <row r="2620" s="238" customFormat="1" ht="14.25" x14ac:dyDescent="0.2"/>
    <row r="2621" s="238" customFormat="1" ht="14.25" x14ac:dyDescent="0.2"/>
    <row r="2622" s="238" customFormat="1" ht="14.25" x14ac:dyDescent="0.2"/>
    <row r="2623" s="238" customFormat="1" ht="14.25" x14ac:dyDescent="0.2"/>
    <row r="2624" s="238" customFormat="1" ht="14.25" x14ac:dyDescent="0.2"/>
    <row r="2625" s="238" customFormat="1" ht="14.25" x14ac:dyDescent="0.2"/>
    <row r="2626" s="238" customFormat="1" ht="14.25" x14ac:dyDescent="0.2"/>
    <row r="2627" s="238" customFormat="1" ht="14.25" x14ac:dyDescent="0.2"/>
    <row r="2628" s="238" customFormat="1" ht="14.25" x14ac:dyDescent="0.2"/>
    <row r="2629" s="238" customFormat="1" ht="14.25" x14ac:dyDescent="0.2"/>
    <row r="2630" s="238" customFormat="1" ht="14.25" x14ac:dyDescent="0.2"/>
    <row r="2631" s="238" customFormat="1" ht="14.25" x14ac:dyDescent="0.2"/>
    <row r="2632" s="238" customFormat="1" ht="14.25" x14ac:dyDescent="0.2"/>
    <row r="2633" s="238" customFormat="1" ht="14.25" x14ac:dyDescent="0.2"/>
    <row r="2634" s="238" customFormat="1" ht="14.25" x14ac:dyDescent="0.2"/>
    <row r="2635" s="238" customFormat="1" ht="14.25" x14ac:dyDescent="0.2"/>
    <row r="2636" s="238" customFormat="1" ht="14.25" x14ac:dyDescent="0.2"/>
    <row r="2637" s="238" customFormat="1" ht="14.25" x14ac:dyDescent="0.2"/>
    <row r="2638" s="238" customFormat="1" ht="14.25" x14ac:dyDescent="0.2"/>
    <row r="2639" s="238" customFormat="1" ht="14.25" x14ac:dyDescent="0.2"/>
    <row r="2640" s="238" customFormat="1" ht="14.25" x14ac:dyDescent="0.2"/>
    <row r="2641" s="238" customFormat="1" ht="14.25" x14ac:dyDescent="0.2"/>
    <row r="2642" s="238" customFormat="1" ht="14.25" x14ac:dyDescent="0.2"/>
    <row r="2643" s="238" customFormat="1" ht="14.25" x14ac:dyDescent="0.2"/>
    <row r="2644" s="238" customFormat="1" ht="14.25" x14ac:dyDescent="0.2"/>
    <row r="2645" s="238" customFormat="1" ht="14.25" x14ac:dyDescent="0.2"/>
    <row r="2646" s="238" customFormat="1" ht="14.25" x14ac:dyDescent="0.2"/>
    <row r="2647" s="238" customFormat="1" ht="14.25" x14ac:dyDescent="0.2"/>
    <row r="2648" s="238" customFormat="1" ht="14.25" x14ac:dyDescent="0.2"/>
    <row r="2649" s="238" customFormat="1" ht="14.25" x14ac:dyDescent="0.2"/>
    <row r="2650" s="238" customFormat="1" ht="14.25" x14ac:dyDescent="0.2"/>
    <row r="2651" s="238" customFormat="1" ht="14.25" x14ac:dyDescent="0.2"/>
    <row r="2652" s="238" customFormat="1" ht="14.25" x14ac:dyDescent="0.2"/>
    <row r="2653" s="238" customFormat="1" ht="14.25" x14ac:dyDescent="0.2"/>
    <row r="2654" s="238" customFormat="1" ht="14.25" x14ac:dyDescent="0.2"/>
    <row r="2655" s="238" customFormat="1" ht="14.25" x14ac:dyDescent="0.2"/>
    <row r="2656" s="238" customFormat="1" ht="14.25" x14ac:dyDescent="0.2"/>
    <row r="2657" s="238" customFormat="1" ht="14.25" x14ac:dyDescent="0.2"/>
    <row r="2658" s="238" customFormat="1" ht="14.25" x14ac:dyDescent="0.2"/>
    <row r="2659" s="238" customFormat="1" ht="14.25" x14ac:dyDescent="0.2"/>
    <row r="2660" s="238" customFormat="1" ht="14.25" x14ac:dyDescent="0.2"/>
    <row r="2661" s="238" customFormat="1" ht="14.25" x14ac:dyDescent="0.2"/>
    <row r="2662" s="238" customFormat="1" ht="14.25" x14ac:dyDescent="0.2"/>
    <row r="2663" s="238" customFormat="1" ht="14.25" x14ac:dyDescent="0.2"/>
    <row r="2664" s="238" customFormat="1" ht="14.25" x14ac:dyDescent="0.2"/>
    <row r="2665" s="238" customFormat="1" ht="14.25" x14ac:dyDescent="0.2"/>
    <row r="2666" s="238" customFormat="1" ht="14.25" x14ac:dyDescent="0.2"/>
    <row r="2667" s="238" customFormat="1" ht="14.25" x14ac:dyDescent="0.2"/>
    <row r="2668" s="238" customFormat="1" ht="14.25" x14ac:dyDescent="0.2"/>
    <row r="2669" s="238" customFormat="1" ht="14.25" x14ac:dyDescent="0.2"/>
    <row r="2670" s="238" customFormat="1" ht="14.25" x14ac:dyDescent="0.2"/>
    <row r="2671" s="238" customFormat="1" ht="14.25" x14ac:dyDescent="0.2"/>
    <row r="2672" s="238" customFormat="1" ht="14.25" x14ac:dyDescent="0.2"/>
    <row r="2673" s="238" customFormat="1" ht="14.25" x14ac:dyDescent="0.2"/>
    <row r="2674" s="238" customFormat="1" ht="14.25" x14ac:dyDescent="0.2"/>
    <row r="2675" s="238" customFormat="1" ht="14.25" x14ac:dyDescent="0.2"/>
    <row r="2676" s="238" customFormat="1" ht="14.25" x14ac:dyDescent="0.2"/>
    <row r="2677" s="238" customFormat="1" ht="14.25" x14ac:dyDescent="0.2"/>
    <row r="2678" s="238" customFormat="1" ht="14.25" x14ac:dyDescent="0.2"/>
    <row r="2679" s="238" customFormat="1" ht="14.25" x14ac:dyDescent="0.2"/>
    <row r="2680" s="238" customFormat="1" ht="14.25" x14ac:dyDescent="0.2"/>
    <row r="2681" s="238" customFormat="1" ht="14.25" x14ac:dyDescent="0.2"/>
    <row r="2682" s="238" customFormat="1" ht="14.25" x14ac:dyDescent="0.2"/>
    <row r="2683" s="238" customFormat="1" ht="14.25" x14ac:dyDescent="0.2"/>
    <row r="2684" s="238" customFormat="1" ht="14.25" x14ac:dyDescent="0.2"/>
    <row r="2685" s="238" customFormat="1" ht="14.25" x14ac:dyDescent="0.2"/>
    <row r="2686" s="238" customFormat="1" ht="14.25" x14ac:dyDescent="0.2"/>
    <row r="2687" s="238" customFormat="1" ht="14.25" x14ac:dyDescent="0.2"/>
    <row r="2688" s="238" customFormat="1" ht="14.25" x14ac:dyDescent="0.2"/>
    <row r="2689" s="238" customFormat="1" ht="14.25" x14ac:dyDescent="0.2"/>
    <row r="2690" s="238" customFormat="1" ht="14.25" x14ac:dyDescent="0.2"/>
    <row r="2691" s="238" customFormat="1" ht="14.25" x14ac:dyDescent="0.2"/>
    <row r="2692" s="238" customFormat="1" ht="14.25" x14ac:dyDescent="0.2"/>
    <row r="2693" s="238" customFormat="1" ht="14.25" x14ac:dyDescent="0.2"/>
    <row r="2694" s="238" customFormat="1" ht="14.25" x14ac:dyDescent="0.2"/>
    <row r="2695" s="238" customFormat="1" ht="14.25" x14ac:dyDescent="0.2"/>
    <row r="2696" s="238" customFormat="1" ht="14.25" x14ac:dyDescent="0.2"/>
    <row r="2697" s="238" customFormat="1" ht="14.25" x14ac:dyDescent="0.2"/>
    <row r="2698" s="238" customFormat="1" ht="14.25" x14ac:dyDescent="0.2"/>
    <row r="2699" s="238" customFormat="1" ht="14.25" x14ac:dyDescent="0.2"/>
    <row r="2700" s="238" customFormat="1" ht="14.25" x14ac:dyDescent="0.2"/>
    <row r="2701" s="238" customFormat="1" ht="14.25" x14ac:dyDescent="0.2"/>
    <row r="2702" s="238" customFormat="1" ht="14.25" x14ac:dyDescent="0.2"/>
    <row r="2703" s="238" customFormat="1" ht="14.25" x14ac:dyDescent="0.2"/>
    <row r="2704" s="238" customFormat="1" ht="14.25" x14ac:dyDescent="0.2"/>
    <row r="2705" s="238" customFormat="1" ht="14.25" x14ac:dyDescent="0.2"/>
    <row r="2706" s="238" customFormat="1" ht="14.25" x14ac:dyDescent="0.2"/>
    <row r="2707" s="238" customFormat="1" ht="14.25" x14ac:dyDescent="0.2"/>
    <row r="2708" s="238" customFormat="1" ht="14.25" x14ac:dyDescent="0.2"/>
    <row r="2709" s="238" customFormat="1" ht="14.25" x14ac:dyDescent="0.2"/>
    <row r="2710" s="238" customFormat="1" ht="14.25" x14ac:dyDescent="0.2"/>
    <row r="2711" s="238" customFormat="1" ht="14.25" x14ac:dyDescent="0.2"/>
    <row r="2712" s="238" customFormat="1" ht="14.25" x14ac:dyDescent="0.2"/>
    <row r="2713" s="238" customFormat="1" ht="14.25" x14ac:dyDescent="0.2"/>
    <row r="2714" s="238" customFormat="1" ht="14.25" x14ac:dyDescent="0.2"/>
    <row r="2715" s="238" customFormat="1" ht="14.25" x14ac:dyDescent="0.2"/>
    <row r="2716" s="238" customFormat="1" ht="14.25" x14ac:dyDescent="0.2"/>
    <row r="2717" s="238" customFormat="1" ht="14.25" x14ac:dyDescent="0.2"/>
    <row r="2718" s="238" customFormat="1" ht="14.25" x14ac:dyDescent="0.2"/>
    <row r="2719" s="238" customFormat="1" ht="14.25" x14ac:dyDescent="0.2"/>
    <row r="2720" s="238" customFormat="1" ht="14.25" x14ac:dyDescent="0.2"/>
    <row r="2721" s="238" customFormat="1" ht="14.25" x14ac:dyDescent="0.2"/>
    <row r="2722" s="238" customFormat="1" ht="14.25" x14ac:dyDescent="0.2"/>
    <row r="2723" s="238" customFormat="1" ht="14.25" x14ac:dyDescent="0.2"/>
    <row r="2724" s="238" customFormat="1" ht="14.25" x14ac:dyDescent="0.2"/>
    <row r="2725" s="238" customFormat="1" ht="14.25" x14ac:dyDescent="0.2"/>
    <row r="2726" s="238" customFormat="1" ht="14.25" x14ac:dyDescent="0.2"/>
    <row r="2727" s="238" customFormat="1" ht="14.25" x14ac:dyDescent="0.2"/>
    <row r="2728" s="238" customFormat="1" ht="14.25" x14ac:dyDescent="0.2"/>
    <row r="2729" s="238" customFormat="1" ht="14.25" x14ac:dyDescent="0.2"/>
    <row r="2730" s="238" customFormat="1" ht="14.25" x14ac:dyDescent="0.2"/>
    <row r="2731" s="238" customFormat="1" ht="14.25" x14ac:dyDescent="0.2"/>
    <row r="2732" s="238" customFormat="1" ht="14.25" x14ac:dyDescent="0.2"/>
    <row r="2733" s="238" customFormat="1" ht="14.25" x14ac:dyDescent="0.2"/>
    <row r="2734" s="238" customFormat="1" ht="14.25" x14ac:dyDescent="0.2"/>
    <row r="2735" s="238" customFormat="1" ht="14.25" x14ac:dyDescent="0.2"/>
    <row r="2736" s="238" customFormat="1" ht="14.25" x14ac:dyDescent="0.2"/>
    <row r="2737" s="238" customFormat="1" ht="14.25" x14ac:dyDescent="0.2"/>
    <row r="2738" s="238" customFormat="1" ht="14.25" x14ac:dyDescent="0.2"/>
    <row r="2739" s="238" customFormat="1" ht="14.25" x14ac:dyDescent="0.2"/>
    <row r="2740" s="238" customFormat="1" ht="14.25" x14ac:dyDescent="0.2"/>
    <row r="2741" s="238" customFormat="1" ht="14.25" x14ac:dyDescent="0.2"/>
    <row r="2742" s="238" customFormat="1" ht="14.25" x14ac:dyDescent="0.2"/>
    <row r="2743" s="238" customFormat="1" ht="14.25" x14ac:dyDescent="0.2"/>
    <row r="2744" s="238" customFormat="1" ht="14.25" x14ac:dyDescent="0.2"/>
    <row r="2745" s="238" customFormat="1" ht="14.25" x14ac:dyDescent="0.2"/>
    <row r="2746" s="238" customFormat="1" ht="14.25" x14ac:dyDescent="0.2"/>
    <row r="2747" s="238" customFormat="1" ht="14.25" x14ac:dyDescent="0.2"/>
    <row r="2748" s="238" customFormat="1" ht="14.25" x14ac:dyDescent="0.2"/>
    <row r="2749" s="238" customFormat="1" ht="14.25" x14ac:dyDescent="0.2"/>
    <row r="2750" s="238" customFormat="1" ht="14.25" x14ac:dyDescent="0.2"/>
    <row r="2751" s="238" customFormat="1" ht="14.25" x14ac:dyDescent="0.2"/>
    <row r="2752" s="238" customFormat="1" ht="14.25" x14ac:dyDescent="0.2"/>
    <row r="2753" s="238" customFormat="1" ht="14.25" x14ac:dyDescent="0.2"/>
    <row r="2754" s="238" customFormat="1" ht="14.25" x14ac:dyDescent="0.2"/>
    <row r="2755" s="238" customFormat="1" ht="14.25" x14ac:dyDescent="0.2"/>
    <row r="2756" s="238" customFormat="1" ht="14.25" x14ac:dyDescent="0.2"/>
    <row r="2757" s="238" customFormat="1" ht="14.25" x14ac:dyDescent="0.2"/>
    <row r="2758" s="238" customFormat="1" ht="14.25" x14ac:dyDescent="0.2"/>
    <row r="2759" s="238" customFormat="1" ht="14.25" x14ac:dyDescent="0.2"/>
    <row r="2760" s="238" customFormat="1" ht="14.25" x14ac:dyDescent="0.2"/>
    <row r="2761" s="238" customFormat="1" ht="14.25" x14ac:dyDescent="0.2"/>
    <row r="2762" s="238" customFormat="1" ht="14.25" x14ac:dyDescent="0.2"/>
    <row r="2763" s="238" customFormat="1" ht="14.25" x14ac:dyDescent="0.2"/>
    <row r="2764" s="238" customFormat="1" ht="14.25" x14ac:dyDescent="0.2"/>
    <row r="2765" s="238" customFormat="1" ht="14.25" x14ac:dyDescent="0.2"/>
    <row r="2766" s="238" customFormat="1" ht="14.25" x14ac:dyDescent="0.2"/>
    <row r="2767" s="238" customFormat="1" ht="14.25" x14ac:dyDescent="0.2"/>
    <row r="2768" s="238" customFormat="1" ht="14.25" x14ac:dyDescent="0.2"/>
    <row r="2769" s="238" customFormat="1" ht="14.25" x14ac:dyDescent="0.2"/>
    <row r="2770" s="238" customFormat="1" ht="14.25" x14ac:dyDescent="0.2"/>
    <row r="2771" s="238" customFormat="1" ht="14.25" x14ac:dyDescent="0.2"/>
    <row r="2772" s="238" customFormat="1" ht="14.25" x14ac:dyDescent="0.2"/>
    <row r="2773" s="238" customFormat="1" ht="14.25" x14ac:dyDescent="0.2"/>
    <row r="2774" s="238" customFormat="1" ht="14.25" x14ac:dyDescent="0.2"/>
    <row r="2775" s="238" customFormat="1" ht="14.25" x14ac:dyDescent="0.2"/>
    <row r="2776" s="238" customFormat="1" ht="14.25" x14ac:dyDescent="0.2"/>
    <row r="2777" s="238" customFormat="1" ht="14.25" x14ac:dyDescent="0.2"/>
    <row r="2778" s="238" customFormat="1" ht="14.25" x14ac:dyDescent="0.2"/>
    <row r="2779" s="238" customFormat="1" ht="14.25" x14ac:dyDescent="0.2"/>
    <row r="2780" s="238" customFormat="1" ht="14.25" x14ac:dyDescent="0.2"/>
    <row r="2781" s="238" customFormat="1" ht="14.25" x14ac:dyDescent="0.2"/>
    <row r="2782" s="238" customFormat="1" ht="14.25" x14ac:dyDescent="0.2"/>
    <row r="2783" s="238" customFormat="1" ht="14.25" x14ac:dyDescent="0.2"/>
    <row r="2784" s="238" customFormat="1" ht="14.25" x14ac:dyDescent="0.2"/>
    <row r="2785" s="238" customFormat="1" ht="14.25" x14ac:dyDescent="0.2"/>
    <row r="2786" s="238" customFormat="1" ht="14.25" x14ac:dyDescent="0.2"/>
    <row r="2787" s="238" customFormat="1" ht="14.25" x14ac:dyDescent="0.2"/>
    <row r="2788" s="238" customFormat="1" ht="14.25" x14ac:dyDescent="0.2"/>
    <row r="2789" s="238" customFormat="1" ht="14.25" x14ac:dyDescent="0.2"/>
    <row r="2790" s="238" customFormat="1" ht="14.25" x14ac:dyDescent="0.2"/>
    <row r="2791" s="238" customFormat="1" ht="14.25" x14ac:dyDescent="0.2"/>
    <row r="2792" s="238" customFormat="1" ht="14.25" x14ac:dyDescent="0.2"/>
    <row r="2793" s="238" customFormat="1" ht="14.25" x14ac:dyDescent="0.2"/>
    <row r="2794" s="238" customFormat="1" ht="14.25" x14ac:dyDescent="0.2"/>
    <row r="2795" s="238" customFormat="1" ht="14.25" x14ac:dyDescent="0.2"/>
    <row r="2796" s="238" customFormat="1" ht="14.25" x14ac:dyDescent="0.2"/>
    <row r="2797" s="238" customFormat="1" ht="14.25" x14ac:dyDescent="0.2"/>
    <row r="2798" s="238" customFormat="1" ht="14.25" x14ac:dyDescent="0.2"/>
    <row r="2799" s="238" customFormat="1" ht="14.25" x14ac:dyDescent="0.2"/>
    <row r="2800" s="238" customFormat="1" ht="14.25" x14ac:dyDescent="0.2"/>
    <row r="2801" s="238" customFormat="1" ht="14.25" x14ac:dyDescent="0.2"/>
    <row r="2802" s="238" customFormat="1" ht="14.25" x14ac:dyDescent="0.2"/>
    <row r="2803" s="238" customFormat="1" ht="14.25" x14ac:dyDescent="0.2"/>
    <row r="2804" s="238" customFormat="1" ht="14.25" x14ac:dyDescent="0.2"/>
    <row r="2805" s="238" customFormat="1" ht="14.25" x14ac:dyDescent="0.2"/>
    <row r="2806" s="238" customFormat="1" ht="14.25" x14ac:dyDescent="0.2"/>
    <row r="2807" s="238" customFormat="1" ht="14.25" x14ac:dyDescent="0.2"/>
    <row r="2808" s="238" customFormat="1" ht="14.25" x14ac:dyDescent="0.2"/>
    <row r="2809" s="238" customFormat="1" ht="14.25" x14ac:dyDescent="0.2"/>
    <row r="2810" s="238" customFormat="1" ht="14.25" x14ac:dyDescent="0.2"/>
    <row r="2811" s="238" customFormat="1" ht="14.25" x14ac:dyDescent="0.2"/>
    <row r="2812" s="238" customFormat="1" ht="14.25" x14ac:dyDescent="0.2"/>
    <row r="2813" s="238" customFormat="1" ht="14.25" x14ac:dyDescent="0.2"/>
    <row r="2814" s="238" customFormat="1" ht="14.25" x14ac:dyDescent="0.2"/>
    <row r="2815" s="238" customFormat="1" ht="14.25" x14ac:dyDescent="0.2"/>
    <row r="2816" s="238" customFormat="1" ht="14.25" x14ac:dyDescent="0.2"/>
    <row r="2817" s="238" customFormat="1" ht="14.25" x14ac:dyDescent="0.2"/>
    <row r="2818" s="238" customFormat="1" ht="14.25" x14ac:dyDescent="0.2"/>
    <row r="2819" s="238" customFormat="1" ht="14.25" x14ac:dyDescent="0.2"/>
    <row r="2820" s="238" customFormat="1" ht="14.25" x14ac:dyDescent="0.2"/>
    <row r="2821" s="238" customFormat="1" ht="14.25" x14ac:dyDescent="0.2"/>
    <row r="2822" s="238" customFormat="1" ht="14.25" x14ac:dyDescent="0.2"/>
    <row r="2823" s="238" customFormat="1" ht="14.25" x14ac:dyDescent="0.2"/>
    <row r="2824" s="238" customFormat="1" ht="14.25" x14ac:dyDescent="0.2"/>
    <row r="2825" s="238" customFormat="1" ht="14.25" x14ac:dyDescent="0.2"/>
    <row r="2826" s="238" customFormat="1" ht="14.25" x14ac:dyDescent="0.2"/>
    <row r="2827" s="238" customFormat="1" ht="14.25" x14ac:dyDescent="0.2"/>
    <row r="2828" s="238" customFormat="1" ht="14.25" x14ac:dyDescent="0.2"/>
    <row r="2829" s="238" customFormat="1" ht="14.25" x14ac:dyDescent="0.2"/>
    <row r="2830" s="238" customFormat="1" ht="14.25" x14ac:dyDescent="0.2"/>
    <row r="2831" s="238" customFormat="1" ht="14.25" x14ac:dyDescent="0.2"/>
    <row r="2832" s="238" customFormat="1" ht="14.25" x14ac:dyDescent="0.2"/>
    <row r="2833" s="238" customFormat="1" ht="14.25" x14ac:dyDescent="0.2"/>
    <row r="2834" s="238" customFormat="1" ht="14.25" x14ac:dyDescent="0.2"/>
    <row r="2835" s="238" customFormat="1" ht="14.25" x14ac:dyDescent="0.2"/>
    <row r="2836" s="238" customFormat="1" ht="14.25" x14ac:dyDescent="0.2"/>
    <row r="2837" s="238" customFormat="1" ht="14.25" x14ac:dyDescent="0.2"/>
    <row r="2838" s="238" customFormat="1" ht="14.25" x14ac:dyDescent="0.2"/>
    <row r="2839" s="238" customFormat="1" ht="14.25" x14ac:dyDescent="0.2"/>
    <row r="2840" s="238" customFormat="1" ht="14.25" x14ac:dyDescent="0.2"/>
    <row r="2841" s="238" customFormat="1" ht="14.25" x14ac:dyDescent="0.2"/>
    <row r="2842" s="238" customFormat="1" ht="14.25" x14ac:dyDescent="0.2"/>
    <row r="2843" s="238" customFormat="1" ht="14.25" x14ac:dyDescent="0.2"/>
    <row r="2844" s="238" customFormat="1" ht="14.25" x14ac:dyDescent="0.2"/>
    <row r="2845" s="238" customFormat="1" ht="14.25" x14ac:dyDescent="0.2"/>
    <row r="2846" s="238" customFormat="1" ht="14.25" x14ac:dyDescent="0.2"/>
    <row r="2847" s="238" customFormat="1" ht="14.25" x14ac:dyDescent="0.2"/>
    <row r="2848" s="238" customFormat="1" ht="14.25" x14ac:dyDescent="0.2"/>
    <row r="2849" s="238" customFormat="1" ht="14.25" x14ac:dyDescent="0.2"/>
    <row r="2850" s="238" customFormat="1" ht="14.25" x14ac:dyDescent="0.2"/>
    <row r="2851" s="238" customFormat="1" ht="14.25" x14ac:dyDescent="0.2"/>
    <row r="2852" s="238" customFormat="1" ht="14.25" x14ac:dyDescent="0.2"/>
    <row r="2853" s="238" customFormat="1" ht="14.25" x14ac:dyDescent="0.2"/>
    <row r="2854" s="238" customFormat="1" ht="14.25" x14ac:dyDescent="0.2"/>
    <row r="2855" s="238" customFormat="1" ht="14.25" x14ac:dyDescent="0.2"/>
    <row r="2856" s="238" customFormat="1" ht="14.25" x14ac:dyDescent="0.2"/>
    <row r="2857" s="238" customFormat="1" ht="14.25" x14ac:dyDescent="0.2"/>
    <row r="2858" s="238" customFormat="1" ht="14.25" x14ac:dyDescent="0.2"/>
    <row r="2859" s="238" customFormat="1" ht="14.25" x14ac:dyDescent="0.2"/>
    <row r="2860" s="238" customFormat="1" ht="14.25" x14ac:dyDescent="0.2"/>
    <row r="2861" s="238" customFormat="1" ht="14.25" x14ac:dyDescent="0.2"/>
    <row r="2862" s="238" customFormat="1" ht="14.25" x14ac:dyDescent="0.2"/>
    <row r="2863" s="238" customFormat="1" ht="14.25" x14ac:dyDescent="0.2"/>
    <row r="2864" s="238" customFormat="1" ht="14.25" x14ac:dyDescent="0.2"/>
    <row r="2865" s="238" customFormat="1" ht="14.25" x14ac:dyDescent="0.2"/>
    <row r="2866" s="238" customFormat="1" ht="14.25" x14ac:dyDescent="0.2"/>
    <row r="2867" s="238" customFormat="1" ht="14.25" x14ac:dyDescent="0.2"/>
    <row r="2868" s="238" customFormat="1" ht="14.25" x14ac:dyDescent="0.2"/>
    <row r="2869" s="238" customFormat="1" ht="14.25" x14ac:dyDescent="0.2"/>
    <row r="2870" s="238" customFormat="1" ht="14.25" x14ac:dyDescent="0.2"/>
    <row r="2871" s="238" customFormat="1" ht="14.25" x14ac:dyDescent="0.2"/>
    <row r="2872" s="238" customFormat="1" ht="14.25" x14ac:dyDescent="0.2"/>
    <row r="2873" s="238" customFormat="1" ht="14.25" x14ac:dyDescent="0.2"/>
    <row r="2874" s="238" customFormat="1" ht="14.25" x14ac:dyDescent="0.2"/>
    <row r="2875" s="238" customFormat="1" ht="14.25" x14ac:dyDescent="0.2"/>
    <row r="2876" s="238" customFormat="1" ht="14.25" x14ac:dyDescent="0.2"/>
    <row r="2877" s="238" customFormat="1" ht="14.25" x14ac:dyDescent="0.2"/>
    <row r="2878" s="238" customFormat="1" ht="14.25" x14ac:dyDescent="0.2"/>
    <row r="2879" s="238" customFormat="1" ht="14.25" x14ac:dyDescent="0.2"/>
    <row r="2880" s="238" customFormat="1" ht="14.25" x14ac:dyDescent="0.2"/>
    <row r="2881" s="238" customFormat="1" ht="14.25" x14ac:dyDescent="0.2"/>
    <row r="2882" s="238" customFormat="1" ht="14.25" x14ac:dyDescent="0.2"/>
    <row r="2883" s="238" customFormat="1" ht="14.25" x14ac:dyDescent="0.2"/>
    <row r="2884" s="238" customFormat="1" ht="14.25" x14ac:dyDescent="0.2"/>
    <row r="2885" s="238" customFormat="1" ht="14.25" x14ac:dyDescent="0.2"/>
    <row r="2886" s="238" customFormat="1" ht="14.25" x14ac:dyDescent="0.2"/>
    <row r="2887" s="238" customFormat="1" ht="14.25" x14ac:dyDescent="0.2"/>
    <row r="2888" s="238" customFormat="1" ht="14.25" x14ac:dyDescent="0.2"/>
    <row r="2889" s="238" customFormat="1" ht="14.25" x14ac:dyDescent="0.2"/>
    <row r="2890" s="238" customFormat="1" ht="14.25" x14ac:dyDescent="0.2"/>
    <row r="2891" s="238" customFormat="1" ht="14.25" x14ac:dyDescent="0.2"/>
    <row r="2892" s="238" customFormat="1" ht="14.25" x14ac:dyDescent="0.2"/>
    <row r="2893" s="238" customFormat="1" ht="14.25" x14ac:dyDescent="0.2"/>
    <row r="2894" s="238" customFormat="1" ht="14.25" x14ac:dyDescent="0.2"/>
    <row r="2895" s="238" customFormat="1" ht="14.25" x14ac:dyDescent="0.2"/>
    <row r="2896" s="238" customFormat="1" ht="14.25" x14ac:dyDescent="0.2"/>
    <row r="2897" s="238" customFormat="1" ht="14.25" x14ac:dyDescent="0.2"/>
    <row r="2898" s="238" customFormat="1" ht="14.25" x14ac:dyDescent="0.2"/>
    <row r="2899" s="238" customFormat="1" ht="14.25" x14ac:dyDescent="0.2"/>
    <row r="2900" s="238" customFormat="1" ht="14.25" x14ac:dyDescent="0.2"/>
    <row r="2901" s="238" customFormat="1" ht="14.25" x14ac:dyDescent="0.2"/>
    <row r="2902" s="238" customFormat="1" ht="14.25" x14ac:dyDescent="0.2"/>
    <row r="2903" s="238" customFormat="1" ht="14.25" x14ac:dyDescent="0.2"/>
    <row r="2904" s="238" customFormat="1" ht="14.25" x14ac:dyDescent="0.2"/>
    <row r="2905" s="238" customFormat="1" ht="14.25" x14ac:dyDescent="0.2"/>
    <row r="2906" s="238" customFormat="1" ht="14.25" x14ac:dyDescent="0.2"/>
    <row r="2907" s="238" customFormat="1" ht="14.25" x14ac:dyDescent="0.2"/>
    <row r="2908" s="238" customFormat="1" ht="14.25" x14ac:dyDescent="0.2"/>
    <row r="2909" s="238" customFormat="1" ht="14.25" x14ac:dyDescent="0.2"/>
    <row r="2910" s="238" customFormat="1" ht="14.25" x14ac:dyDescent="0.2"/>
    <row r="2911" s="238" customFormat="1" ht="14.25" x14ac:dyDescent="0.2"/>
    <row r="2912" s="238" customFormat="1" ht="14.25" x14ac:dyDescent="0.2"/>
    <row r="2913" s="238" customFormat="1" ht="14.25" x14ac:dyDescent="0.2"/>
    <row r="2914" s="238" customFormat="1" ht="14.25" x14ac:dyDescent="0.2"/>
    <row r="2915" s="238" customFormat="1" ht="14.25" x14ac:dyDescent="0.2"/>
    <row r="2916" s="238" customFormat="1" ht="14.25" x14ac:dyDescent="0.2"/>
    <row r="2917" s="238" customFormat="1" ht="14.25" x14ac:dyDescent="0.2"/>
    <row r="2918" s="238" customFormat="1" ht="14.25" x14ac:dyDescent="0.2"/>
    <row r="2919" s="238" customFormat="1" ht="14.25" x14ac:dyDescent="0.2"/>
    <row r="2920" s="238" customFormat="1" ht="14.25" x14ac:dyDescent="0.2"/>
    <row r="2921" s="238" customFormat="1" ht="14.25" x14ac:dyDescent="0.2"/>
    <row r="2922" s="238" customFormat="1" ht="14.25" x14ac:dyDescent="0.2"/>
    <row r="2923" s="238" customFormat="1" ht="14.25" x14ac:dyDescent="0.2"/>
    <row r="2924" s="238" customFormat="1" ht="14.25" x14ac:dyDescent="0.2"/>
    <row r="2925" s="238" customFormat="1" ht="14.25" x14ac:dyDescent="0.2"/>
    <row r="2926" s="238" customFormat="1" ht="14.25" x14ac:dyDescent="0.2"/>
    <row r="2927" s="238" customFormat="1" ht="14.25" x14ac:dyDescent="0.2"/>
    <row r="2928" s="238" customFormat="1" ht="14.25" x14ac:dyDescent="0.2"/>
    <row r="2929" s="238" customFormat="1" ht="14.25" x14ac:dyDescent="0.2"/>
    <row r="2930" s="238" customFormat="1" ht="14.25" x14ac:dyDescent="0.2"/>
    <row r="2931" s="238" customFormat="1" ht="14.25" x14ac:dyDescent="0.2"/>
    <row r="2932" s="238" customFormat="1" ht="14.25" x14ac:dyDescent="0.2"/>
    <row r="2933" s="238" customFormat="1" ht="14.25" x14ac:dyDescent="0.2"/>
    <row r="2934" s="238" customFormat="1" ht="14.25" x14ac:dyDescent="0.2"/>
    <row r="2935" s="238" customFormat="1" ht="14.25" x14ac:dyDescent="0.2"/>
    <row r="2936" s="238" customFormat="1" ht="14.25" x14ac:dyDescent="0.2"/>
    <row r="2937" s="238" customFormat="1" ht="14.25" x14ac:dyDescent="0.2"/>
    <row r="2938" s="238" customFormat="1" ht="14.25" x14ac:dyDescent="0.2"/>
    <row r="2939" s="238" customFormat="1" ht="14.25" x14ac:dyDescent="0.2"/>
    <row r="2940" s="238" customFormat="1" ht="14.25" x14ac:dyDescent="0.2"/>
    <row r="2941" s="238" customFormat="1" ht="14.25" x14ac:dyDescent="0.2"/>
    <row r="2942" s="238" customFormat="1" ht="14.25" x14ac:dyDescent="0.2"/>
    <row r="2943" s="238" customFormat="1" ht="14.25" x14ac:dyDescent="0.2"/>
    <row r="2944" s="238" customFormat="1" ht="14.25" x14ac:dyDescent="0.2"/>
    <row r="2945" s="238" customFormat="1" ht="14.25" x14ac:dyDescent="0.2"/>
    <row r="2946" s="238" customFormat="1" ht="14.25" x14ac:dyDescent="0.2"/>
    <row r="2947" s="238" customFormat="1" ht="14.25" x14ac:dyDescent="0.2"/>
    <row r="2948" s="238" customFormat="1" ht="14.25" x14ac:dyDescent="0.2"/>
    <row r="2949" s="238" customFormat="1" ht="14.25" x14ac:dyDescent="0.2"/>
    <row r="2950" s="238" customFormat="1" ht="14.25" x14ac:dyDescent="0.2"/>
    <row r="2951" s="238" customFormat="1" ht="14.25" x14ac:dyDescent="0.2"/>
    <row r="2952" s="238" customFormat="1" ht="14.25" x14ac:dyDescent="0.2"/>
    <row r="2953" s="238" customFormat="1" ht="14.25" x14ac:dyDescent="0.2"/>
    <row r="2954" s="238" customFormat="1" ht="14.25" x14ac:dyDescent="0.2"/>
    <row r="2955" s="238" customFormat="1" ht="14.25" x14ac:dyDescent="0.2"/>
    <row r="2956" s="238" customFormat="1" ht="14.25" x14ac:dyDescent="0.2"/>
    <row r="2957" s="238" customFormat="1" ht="14.25" x14ac:dyDescent="0.2"/>
    <row r="2958" s="238" customFormat="1" ht="14.25" x14ac:dyDescent="0.2"/>
    <row r="2959" s="238" customFormat="1" ht="14.25" x14ac:dyDescent="0.2"/>
    <row r="2960" s="238" customFormat="1" ht="14.25" x14ac:dyDescent="0.2"/>
    <row r="2961" s="238" customFormat="1" ht="14.25" x14ac:dyDescent="0.2"/>
    <row r="2962" s="238" customFormat="1" ht="14.25" x14ac:dyDescent="0.2"/>
    <row r="2963" s="238" customFormat="1" ht="14.25" x14ac:dyDescent="0.2"/>
    <row r="2964" s="238" customFormat="1" ht="14.25" x14ac:dyDescent="0.2"/>
    <row r="2965" s="238" customFormat="1" ht="14.25" x14ac:dyDescent="0.2"/>
    <row r="2966" s="238" customFormat="1" ht="14.25" x14ac:dyDescent="0.2"/>
    <row r="2967" s="238" customFormat="1" ht="14.25" x14ac:dyDescent="0.2"/>
    <row r="2968" s="238" customFormat="1" ht="14.25" x14ac:dyDescent="0.2"/>
    <row r="2969" s="238" customFormat="1" ht="14.25" x14ac:dyDescent="0.2"/>
    <row r="2970" s="238" customFormat="1" ht="14.25" x14ac:dyDescent="0.2"/>
    <row r="2971" s="238" customFormat="1" ht="14.25" x14ac:dyDescent="0.2"/>
    <row r="2972" s="238" customFormat="1" ht="14.25" x14ac:dyDescent="0.2"/>
    <row r="2973" s="238" customFormat="1" ht="14.25" x14ac:dyDescent="0.2"/>
    <row r="2974" s="238" customFormat="1" ht="14.25" x14ac:dyDescent="0.2"/>
    <row r="2975" s="238" customFormat="1" ht="14.25" x14ac:dyDescent="0.2"/>
    <row r="2976" s="238" customFormat="1" ht="14.25" x14ac:dyDescent="0.2"/>
    <row r="2977" s="238" customFormat="1" ht="14.25" x14ac:dyDescent="0.2"/>
    <row r="2978" s="238" customFormat="1" ht="14.25" x14ac:dyDescent="0.2"/>
    <row r="2979" s="238" customFormat="1" ht="14.25" x14ac:dyDescent="0.2"/>
    <row r="2980" s="238" customFormat="1" ht="14.25" x14ac:dyDescent="0.2"/>
    <row r="2981" s="238" customFormat="1" ht="14.25" x14ac:dyDescent="0.2"/>
    <row r="2982" s="238" customFormat="1" ht="14.25" x14ac:dyDescent="0.2"/>
    <row r="2983" s="238" customFormat="1" ht="14.25" x14ac:dyDescent="0.2"/>
    <row r="2984" s="238" customFormat="1" ht="14.25" x14ac:dyDescent="0.2"/>
    <row r="2985" s="238" customFormat="1" ht="14.25" x14ac:dyDescent="0.2"/>
    <row r="2986" s="238" customFormat="1" ht="14.25" x14ac:dyDescent="0.2"/>
    <row r="2987" s="238" customFormat="1" ht="14.25" x14ac:dyDescent="0.2"/>
    <row r="2988" s="238" customFormat="1" ht="14.25" x14ac:dyDescent="0.2"/>
    <row r="2989" s="238" customFormat="1" ht="14.25" x14ac:dyDescent="0.2"/>
    <row r="2990" s="238" customFormat="1" ht="14.25" x14ac:dyDescent="0.2"/>
    <row r="2991" s="238" customFormat="1" ht="14.25" x14ac:dyDescent="0.2"/>
    <row r="2992" s="238" customFormat="1" ht="14.25" x14ac:dyDescent="0.2"/>
    <row r="2993" s="238" customFormat="1" ht="14.25" x14ac:dyDescent="0.2"/>
    <row r="2994" s="238" customFormat="1" ht="14.25" x14ac:dyDescent="0.2"/>
    <row r="2995" s="238" customFormat="1" ht="14.25" x14ac:dyDescent="0.2"/>
    <row r="2996" s="238" customFormat="1" ht="14.25" x14ac:dyDescent="0.2"/>
    <row r="2997" s="238" customFormat="1" ht="14.25" x14ac:dyDescent="0.2"/>
    <row r="2998" s="238" customFormat="1" ht="14.25" x14ac:dyDescent="0.2"/>
    <row r="2999" s="238" customFormat="1" ht="14.25" x14ac:dyDescent="0.2"/>
    <row r="3000" s="238" customFormat="1" ht="14.25" x14ac:dyDescent="0.2"/>
    <row r="3001" s="238" customFormat="1" ht="14.25" x14ac:dyDescent="0.2"/>
    <row r="3002" s="238" customFormat="1" ht="14.25" x14ac:dyDescent="0.2"/>
    <row r="3003" s="238" customFormat="1" ht="14.25" x14ac:dyDescent="0.2"/>
    <row r="3004" s="238" customFormat="1" ht="14.25" x14ac:dyDescent="0.2"/>
    <row r="3005" s="238" customFormat="1" ht="14.25" x14ac:dyDescent="0.2"/>
    <row r="3006" s="238" customFormat="1" ht="14.25" x14ac:dyDescent="0.2"/>
    <row r="3007" s="238" customFormat="1" ht="14.25" x14ac:dyDescent="0.2"/>
    <row r="3008" s="238" customFormat="1" ht="14.25" x14ac:dyDescent="0.2"/>
    <row r="3009" s="238" customFormat="1" ht="14.25" x14ac:dyDescent="0.2"/>
    <row r="3010" s="238" customFormat="1" ht="14.25" x14ac:dyDescent="0.2"/>
    <row r="3011" s="238" customFormat="1" ht="14.25" x14ac:dyDescent="0.2"/>
    <row r="3012" s="238" customFormat="1" ht="14.25" x14ac:dyDescent="0.2"/>
    <row r="3013" s="238" customFormat="1" ht="14.25" x14ac:dyDescent="0.2"/>
    <row r="3014" s="238" customFormat="1" ht="14.25" x14ac:dyDescent="0.2"/>
    <row r="3015" s="238" customFormat="1" ht="14.25" x14ac:dyDescent="0.2"/>
    <row r="3016" s="238" customFormat="1" ht="14.25" x14ac:dyDescent="0.2"/>
    <row r="3017" s="238" customFormat="1" ht="14.25" x14ac:dyDescent="0.2"/>
    <row r="3018" s="238" customFormat="1" ht="14.25" x14ac:dyDescent="0.2"/>
    <row r="3019" s="238" customFormat="1" ht="14.25" x14ac:dyDescent="0.2"/>
    <row r="3020" s="238" customFormat="1" ht="14.25" x14ac:dyDescent="0.2"/>
    <row r="3021" s="238" customFormat="1" ht="14.25" x14ac:dyDescent="0.2"/>
    <row r="3022" s="238" customFormat="1" ht="14.25" x14ac:dyDescent="0.2"/>
    <row r="3023" s="238" customFormat="1" ht="14.25" x14ac:dyDescent="0.2"/>
    <row r="3024" s="238" customFormat="1" ht="14.25" x14ac:dyDescent="0.2"/>
    <row r="3025" s="238" customFormat="1" ht="14.25" x14ac:dyDescent="0.2"/>
    <row r="3026" s="238" customFormat="1" ht="14.25" x14ac:dyDescent="0.2"/>
    <row r="3027" s="238" customFormat="1" ht="14.25" x14ac:dyDescent="0.2"/>
    <row r="3028" s="238" customFormat="1" ht="14.25" x14ac:dyDescent="0.2"/>
    <row r="3029" s="238" customFormat="1" ht="14.25" x14ac:dyDescent="0.2"/>
    <row r="3030" s="238" customFormat="1" ht="14.25" x14ac:dyDescent="0.2"/>
    <row r="3031" s="238" customFormat="1" ht="14.25" x14ac:dyDescent="0.2"/>
    <row r="3032" s="238" customFormat="1" ht="14.25" x14ac:dyDescent="0.2"/>
    <row r="3033" s="238" customFormat="1" ht="14.25" x14ac:dyDescent="0.2"/>
    <row r="3034" s="238" customFormat="1" ht="14.25" x14ac:dyDescent="0.2"/>
    <row r="3035" s="238" customFormat="1" ht="14.25" x14ac:dyDescent="0.2"/>
    <row r="3036" s="238" customFormat="1" ht="14.25" x14ac:dyDescent="0.2"/>
    <row r="3037" s="238" customFormat="1" ht="14.25" x14ac:dyDescent="0.2"/>
    <row r="3038" s="238" customFormat="1" ht="14.25" x14ac:dyDescent="0.2"/>
    <row r="3039" s="238" customFormat="1" ht="14.25" x14ac:dyDescent="0.2"/>
    <row r="3040" s="238" customFormat="1" ht="14.25" x14ac:dyDescent="0.2"/>
    <row r="3041" s="238" customFormat="1" ht="14.25" x14ac:dyDescent="0.2"/>
    <row r="3042" s="238" customFormat="1" ht="14.25" x14ac:dyDescent="0.2"/>
    <row r="3043" s="238" customFormat="1" ht="14.25" x14ac:dyDescent="0.2"/>
    <row r="3044" s="238" customFormat="1" ht="14.25" x14ac:dyDescent="0.2"/>
    <row r="3045" s="238" customFormat="1" ht="14.25" x14ac:dyDescent="0.2"/>
    <row r="3046" s="238" customFormat="1" ht="14.25" x14ac:dyDescent="0.2"/>
    <row r="3047" s="238" customFormat="1" ht="14.25" x14ac:dyDescent="0.2"/>
    <row r="3048" s="238" customFormat="1" ht="14.25" x14ac:dyDescent="0.2"/>
    <row r="3049" s="238" customFormat="1" ht="14.25" x14ac:dyDescent="0.2"/>
    <row r="3050" s="238" customFormat="1" ht="14.25" x14ac:dyDescent="0.2"/>
    <row r="3051" s="238" customFormat="1" ht="14.25" x14ac:dyDescent="0.2"/>
    <row r="3052" s="238" customFormat="1" ht="14.25" x14ac:dyDescent="0.2"/>
    <row r="3053" s="238" customFormat="1" ht="14.25" x14ac:dyDescent="0.2"/>
    <row r="3054" s="238" customFormat="1" ht="14.25" x14ac:dyDescent="0.2"/>
    <row r="3055" s="238" customFormat="1" ht="14.25" x14ac:dyDescent="0.2"/>
    <row r="3056" s="238" customFormat="1" ht="14.25" x14ac:dyDescent="0.2"/>
    <row r="3057" s="238" customFormat="1" ht="14.25" x14ac:dyDescent="0.2"/>
    <row r="3058" s="238" customFormat="1" ht="14.25" x14ac:dyDescent="0.2"/>
    <row r="3059" s="238" customFormat="1" ht="14.25" x14ac:dyDescent="0.2"/>
    <row r="3060" s="238" customFormat="1" ht="14.25" x14ac:dyDescent="0.2"/>
    <row r="3061" s="238" customFormat="1" ht="14.25" x14ac:dyDescent="0.2"/>
    <row r="3062" s="238" customFormat="1" ht="14.25" x14ac:dyDescent="0.2"/>
    <row r="3063" s="238" customFormat="1" ht="14.25" x14ac:dyDescent="0.2"/>
    <row r="3064" s="238" customFormat="1" ht="14.25" x14ac:dyDescent="0.2"/>
    <row r="3065" s="238" customFormat="1" ht="14.25" x14ac:dyDescent="0.2"/>
    <row r="3066" s="238" customFormat="1" ht="14.25" x14ac:dyDescent="0.2"/>
    <row r="3067" s="238" customFormat="1" ht="14.25" x14ac:dyDescent="0.2"/>
    <row r="3068" s="238" customFormat="1" ht="14.25" x14ac:dyDescent="0.2"/>
    <row r="3069" s="238" customFormat="1" ht="14.25" x14ac:dyDescent="0.2"/>
    <row r="3070" s="238" customFormat="1" ht="14.25" x14ac:dyDescent="0.2"/>
    <row r="3071" s="238" customFormat="1" ht="14.25" x14ac:dyDescent="0.2"/>
    <row r="3072" s="238" customFormat="1" ht="14.25" x14ac:dyDescent="0.2"/>
    <row r="3073" s="238" customFormat="1" ht="14.25" x14ac:dyDescent="0.2"/>
    <row r="3074" s="238" customFormat="1" ht="14.25" x14ac:dyDescent="0.2"/>
    <row r="3075" s="238" customFormat="1" ht="14.25" x14ac:dyDescent="0.2"/>
    <row r="3076" s="238" customFormat="1" ht="14.25" x14ac:dyDescent="0.2"/>
    <row r="3077" s="238" customFormat="1" ht="14.25" x14ac:dyDescent="0.2"/>
    <row r="3078" s="238" customFormat="1" ht="14.25" x14ac:dyDescent="0.2"/>
    <row r="3079" s="238" customFormat="1" ht="14.25" x14ac:dyDescent="0.2"/>
    <row r="3080" s="238" customFormat="1" ht="14.25" x14ac:dyDescent="0.2"/>
    <row r="3081" s="238" customFormat="1" ht="14.25" x14ac:dyDescent="0.2"/>
    <row r="3082" s="238" customFormat="1" ht="14.25" x14ac:dyDescent="0.2"/>
    <row r="3083" s="238" customFormat="1" ht="14.25" x14ac:dyDescent="0.2"/>
    <row r="3084" s="238" customFormat="1" ht="14.25" x14ac:dyDescent="0.2"/>
    <row r="3085" s="238" customFormat="1" ht="14.25" x14ac:dyDescent="0.2"/>
    <row r="3086" s="238" customFormat="1" ht="14.25" x14ac:dyDescent="0.2"/>
    <row r="3087" s="238" customFormat="1" ht="14.25" x14ac:dyDescent="0.2"/>
    <row r="3088" s="238" customFormat="1" ht="14.25" x14ac:dyDescent="0.2"/>
    <row r="3089" s="238" customFormat="1" ht="14.25" x14ac:dyDescent="0.2"/>
    <row r="3090" s="238" customFormat="1" ht="14.25" x14ac:dyDescent="0.2"/>
    <row r="3091" s="238" customFormat="1" ht="14.25" x14ac:dyDescent="0.2"/>
    <row r="3092" s="238" customFormat="1" ht="14.25" x14ac:dyDescent="0.2"/>
    <row r="3093" s="238" customFormat="1" ht="14.25" x14ac:dyDescent="0.2"/>
    <row r="3094" s="238" customFormat="1" ht="14.25" x14ac:dyDescent="0.2"/>
    <row r="3095" s="238" customFormat="1" ht="14.25" x14ac:dyDescent="0.2"/>
    <row r="3096" s="238" customFormat="1" ht="14.25" x14ac:dyDescent="0.2"/>
    <row r="3097" s="238" customFormat="1" ht="14.25" x14ac:dyDescent="0.2"/>
    <row r="3098" s="238" customFormat="1" ht="14.25" x14ac:dyDescent="0.2"/>
    <row r="3099" s="238" customFormat="1" ht="14.25" x14ac:dyDescent="0.2"/>
    <row r="3100" s="238" customFormat="1" ht="14.25" x14ac:dyDescent="0.2"/>
    <row r="3101" s="238" customFormat="1" ht="14.25" x14ac:dyDescent="0.2"/>
    <row r="3102" s="238" customFormat="1" ht="14.25" x14ac:dyDescent="0.2"/>
    <row r="3103" s="238" customFormat="1" ht="14.25" x14ac:dyDescent="0.2"/>
    <row r="3104" s="238" customFormat="1" ht="14.25" x14ac:dyDescent="0.2"/>
    <row r="3105" s="238" customFormat="1" ht="14.25" x14ac:dyDescent="0.2"/>
    <row r="3106" s="238" customFormat="1" ht="14.25" x14ac:dyDescent="0.2"/>
    <row r="3107" s="238" customFormat="1" ht="14.25" x14ac:dyDescent="0.2"/>
    <row r="3108" s="238" customFormat="1" ht="14.25" x14ac:dyDescent="0.2"/>
    <row r="3109" s="238" customFormat="1" ht="14.25" x14ac:dyDescent="0.2"/>
    <row r="3110" s="238" customFormat="1" ht="14.25" x14ac:dyDescent="0.2"/>
    <row r="3111" s="238" customFormat="1" ht="14.25" x14ac:dyDescent="0.2"/>
    <row r="3112" s="238" customFormat="1" ht="14.25" x14ac:dyDescent="0.2"/>
    <row r="3113" s="238" customFormat="1" ht="14.25" x14ac:dyDescent="0.2"/>
    <row r="3114" s="238" customFormat="1" ht="14.25" x14ac:dyDescent="0.2"/>
    <row r="3115" s="238" customFormat="1" ht="14.25" x14ac:dyDescent="0.2"/>
    <row r="3116" s="238" customFormat="1" ht="14.25" x14ac:dyDescent="0.2"/>
    <row r="3117" s="238" customFormat="1" ht="14.25" x14ac:dyDescent="0.2"/>
    <row r="3118" s="238" customFormat="1" ht="14.25" x14ac:dyDescent="0.2"/>
    <row r="3119" s="238" customFormat="1" ht="14.25" x14ac:dyDescent="0.2"/>
    <row r="3120" s="238" customFormat="1" ht="14.25" x14ac:dyDescent="0.2"/>
    <row r="3121" s="238" customFormat="1" ht="14.25" x14ac:dyDescent="0.2"/>
    <row r="3122" s="238" customFormat="1" ht="14.25" x14ac:dyDescent="0.2"/>
    <row r="3123" s="238" customFormat="1" ht="14.25" x14ac:dyDescent="0.2"/>
    <row r="3124" s="238" customFormat="1" ht="14.25" x14ac:dyDescent="0.2"/>
    <row r="3125" s="238" customFormat="1" ht="14.25" x14ac:dyDescent="0.2"/>
    <row r="3126" s="238" customFormat="1" ht="14.25" x14ac:dyDescent="0.2"/>
    <row r="3127" s="238" customFormat="1" ht="14.25" x14ac:dyDescent="0.2"/>
    <row r="3128" s="238" customFormat="1" ht="14.25" x14ac:dyDescent="0.2"/>
    <row r="3129" s="238" customFormat="1" ht="14.25" x14ac:dyDescent="0.2"/>
    <row r="3130" s="238" customFormat="1" ht="14.25" x14ac:dyDescent="0.2"/>
    <row r="3131" s="238" customFormat="1" ht="14.25" x14ac:dyDescent="0.2"/>
    <row r="3132" s="238" customFormat="1" ht="14.25" x14ac:dyDescent="0.2"/>
    <row r="3133" s="238" customFormat="1" ht="14.25" x14ac:dyDescent="0.2"/>
    <row r="3134" s="238" customFormat="1" ht="14.25" x14ac:dyDescent="0.2"/>
    <row r="3135" s="238" customFormat="1" ht="14.25" x14ac:dyDescent="0.2"/>
    <row r="3136" s="238" customFormat="1" ht="14.25" x14ac:dyDescent="0.2"/>
    <row r="3137" s="238" customFormat="1" ht="14.25" x14ac:dyDescent="0.2"/>
    <row r="3138" s="238" customFormat="1" ht="14.25" x14ac:dyDescent="0.2"/>
    <row r="3139" s="238" customFormat="1" ht="14.25" x14ac:dyDescent="0.2"/>
    <row r="3140" s="238" customFormat="1" ht="14.25" x14ac:dyDescent="0.2"/>
    <row r="3141" s="238" customFormat="1" ht="14.25" x14ac:dyDescent="0.2"/>
    <row r="3142" s="238" customFormat="1" ht="14.25" x14ac:dyDescent="0.2"/>
    <row r="3143" s="238" customFormat="1" ht="14.25" x14ac:dyDescent="0.2"/>
    <row r="3144" s="238" customFormat="1" ht="14.25" x14ac:dyDescent="0.2"/>
    <row r="3145" s="238" customFormat="1" ht="14.25" x14ac:dyDescent="0.2"/>
    <row r="3146" s="238" customFormat="1" ht="14.25" x14ac:dyDescent="0.2"/>
    <row r="3147" s="238" customFormat="1" ht="14.25" x14ac:dyDescent="0.2"/>
    <row r="3148" s="238" customFormat="1" ht="14.25" x14ac:dyDescent="0.2"/>
    <row r="3149" s="238" customFormat="1" ht="14.25" x14ac:dyDescent="0.2"/>
    <row r="3150" s="238" customFormat="1" ht="14.25" x14ac:dyDescent="0.2"/>
    <row r="3151" s="238" customFormat="1" ht="14.25" x14ac:dyDescent="0.2"/>
    <row r="3152" s="238" customFormat="1" ht="14.25" x14ac:dyDescent="0.2"/>
    <row r="3153" s="238" customFormat="1" ht="14.25" x14ac:dyDescent="0.2"/>
    <row r="3154" s="238" customFormat="1" ht="14.25" x14ac:dyDescent="0.2"/>
    <row r="3155" s="238" customFormat="1" ht="14.25" x14ac:dyDescent="0.2"/>
    <row r="3156" s="238" customFormat="1" ht="14.25" x14ac:dyDescent="0.2"/>
    <row r="3157" s="238" customFormat="1" ht="14.25" x14ac:dyDescent="0.2"/>
    <row r="3158" s="238" customFormat="1" ht="14.25" x14ac:dyDescent="0.2"/>
    <row r="3159" s="238" customFormat="1" ht="14.25" x14ac:dyDescent="0.2"/>
    <row r="3160" s="238" customFormat="1" ht="14.25" x14ac:dyDescent="0.2"/>
    <row r="3161" s="238" customFormat="1" ht="14.25" x14ac:dyDescent="0.2"/>
    <row r="3162" s="238" customFormat="1" ht="14.25" x14ac:dyDescent="0.2"/>
    <row r="3163" s="238" customFormat="1" ht="14.25" x14ac:dyDescent="0.2"/>
    <row r="3164" s="238" customFormat="1" ht="14.25" x14ac:dyDescent="0.2"/>
    <row r="3165" s="238" customFormat="1" ht="14.25" x14ac:dyDescent="0.2"/>
    <row r="3166" s="238" customFormat="1" ht="14.25" x14ac:dyDescent="0.2"/>
    <row r="3167" s="238" customFormat="1" ht="14.25" x14ac:dyDescent="0.2"/>
    <row r="3168" s="238" customFormat="1" ht="14.25" x14ac:dyDescent="0.2"/>
    <row r="3169" s="238" customFormat="1" ht="14.25" x14ac:dyDescent="0.2"/>
    <row r="3170" s="238" customFormat="1" ht="14.25" x14ac:dyDescent="0.2"/>
    <row r="3171" s="238" customFormat="1" ht="14.25" x14ac:dyDescent="0.2"/>
    <row r="3172" s="238" customFormat="1" ht="14.25" x14ac:dyDescent="0.2"/>
    <row r="3173" s="238" customFormat="1" ht="14.25" x14ac:dyDescent="0.2"/>
    <row r="3174" s="238" customFormat="1" ht="14.25" x14ac:dyDescent="0.2"/>
    <row r="3175" s="238" customFormat="1" ht="14.25" x14ac:dyDescent="0.2"/>
    <row r="3176" s="238" customFormat="1" ht="14.25" x14ac:dyDescent="0.2"/>
    <row r="3177" s="238" customFormat="1" ht="14.25" x14ac:dyDescent="0.2"/>
    <row r="3178" s="238" customFormat="1" ht="14.25" x14ac:dyDescent="0.2"/>
    <row r="3179" s="238" customFormat="1" ht="14.25" x14ac:dyDescent="0.2"/>
    <row r="3180" s="238" customFormat="1" ht="14.25" x14ac:dyDescent="0.2"/>
    <row r="3181" s="238" customFormat="1" ht="14.25" x14ac:dyDescent="0.2"/>
    <row r="3182" s="238" customFormat="1" ht="14.25" x14ac:dyDescent="0.2"/>
    <row r="3183" s="238" customFormat="1" ht="14.25" x14ac:dyDescent="0.2"/>
    <row r="3184" s="238" customFormat="1" ht="14.25" x14ac:dyDescent="0.2"/>
    <row r="3185" s="238" customFormat="1" ht="14.25" x14ac:dyDescent="0.2"/>
    <row r="3186" s="238" customFormat="1" ht="14.25" x14ac:dyDescent="0.2"/>
    <row r="3187" s="238" customFormat="1" ht="14.25" x14ac:dyDescent="0.2"/>
    <row r="3188" s="238" customFormat="1" ht="14.25" x14ac:dyDescent="0.2"/>
    <row r="3189" s="238" customFormat="1" ht="14.25" x14ac:dyDescent="0.2"/>
    <row r="3190" s="238" customFormat="1" ht="14.25" x14ac:dyDescent="0.2"/>
    <row r="3191" s="238" customFormat="1" ht="14.25" x14ac:dyDescent="0.2"/>
    <row r="3192" s="238" customFormat="1" ht="14.25" x14ac:dyDescent="0.2"/>
    <row r="3193" s="238" customFormat="1" ht="14.25" x14ac:dyDescent="0.2"/>
    <row r="3194" s="238" customFormat="1" ht="14.25" x14ac:dyDescent="0.2"/>
    <row r="3195" s="238" customFormat="1" ht="14.25" x14ac:dyDescent="0.2"/>
    <row r="3196" s="238" customFormat="1" ht="14.25" x14ac:dyDescent="0.2"/>
    <row r="3197" s="238" customFormat="1" ht="14.25" x14ac:dyDescent="0.2"/>
    <row r="3198" s="238" customFormat="1" ht="14.25" x14ac:dyDescent="0.2"/>
    <row r="3199" s="238" customFormat="1" ht="14.25" x14ac:dyDescent="0.2"/>
    <row r="3200" s="238" customFormat="1" ht="14.25" x14ac:dyDescent="0.2"/>
    <row r="3201" s="238" customFormat="1" ht="14.25" x14ac:dyDescent="0.2"/>
    <row r="3202" s="238" customFormat="1" ht="14.25" x14ac:dyDescent="0.2"/>
    <row r="3203" s="238" customFormat="1" ht="14.25" x14ac:dyDescent="0.2"/>
    <row r="3204" s="238" customFormat="1" ht="14.25" x14ac:dyDescent="0.2"/>
    <row r="3205" s="238" customFormat="1" ht="14.25" x14ac:dyDescent="0.2"/>
    <row r="3206" s="238" customFormat="1" ht="14.25" x14ac:dyDescent="0.2"/>
    <row r="3207" s="238" customFormat="1" ht="14.25" x14ac:dyDescent="0.2"/>
    <row r="3208" s="238" customFormat="1" ht="14.25" x14ac:dyDescent="0.2"/>
    <row r="3209" s="238" customFormat="1" ht="14.25" x14ac:dyDescent="0.2"/>
    <row r="3210" s="238" customFormat="1" ht="14.25" x14ac:dyDescent="0.2"/>
    <row r="3211" s="238" customFormat="1" ht="14.25" x14ac:dyDescent="0.2"/>
    <row r="3212" s="238" customFormat="1" ht="14.25" x14ac:dyDescent="0.2"/>
    <row r="3213" s="238" customFormat="1" ht="14.25" x14ac:dyDescent="0.2"/>
    <row r="3214" s="238" customFormat="1" ht="14.25" x14ac:dyDescent="0.2"/>
    <row r="3215" s="238" customFormat="1" ht="14.25" x14ac:dyDescent="0.2"/>
    <row r="3216" s="238" customFormat="1" ht="14.25" x14ac:dyDescent="0.2"/>
    <row r="3217" s="238" customFormat="1" ht="14.25" x14ac:dyDescent="0.2"/>
    <row r="3218" s="238" customFormat="1" ht="14.25" x14ac:dyDescent="0.2"/>
    <row r="3219" s="238" customFormat="1" ht="14.25" x14ac:dyDescent="0.2"/>
    <row r="3220" s="238" customFormat="1" ht="14.25" x14ac:dyDescent="0.2"/>
    <row r="3221" s="238" customFormat="1" ht="14.25" x14ac:dyDescent="0.2"/>
    <row r="3222" s="238" customFormat="1" ht="14.25" x14ac:dyDescent="0.2"/>
    <row r="3223" s="238" customFormat="1" ht="14.25" x14ac:dyDescent="0.2"/>
    <row r="3224" s="238" customFormat="1" ht="14.25" x14ac:dyDescent="0.2"/>
    <row r="3225" s="238" customFormat="1" ht="14.25" x14ac:dyDescent="0.2"/>
    <row r="3226" s="238" customFormat="1" ht="14.25" x14ac:dyDescent="0.2"/>
    <row r="3227" s="238" customFormat="1" ht="14.25" x14ac:dyDescent="0.2"/>
    <row r="3228" s="238" customFormat="1" ht="14.25" x14ac:dyDescent="0.2"/>
    <row r="3229" s="238" customFormat="1" ht="14.25" x14ac:dyDescent="0.2"/>
    <row r="3230" s="238" customFormat="1" ht="14.25" x14ac:dyDescent="0.2"/>
    <row r="3231" s="238" customFormat="1" ht="14.25" x14ac:dyDescent="0.2"/>
    <row r="3232" s="238" customFormat="1" ht="14.25" x14ac:dyDescent="0.2"/>
    <row r="3233" s="238" customFormat="1" ht="14.25" x14ac:dyDescent="0.2"/>
    <row r="3234" s="238" customFormat="1" ht="14.25" x14ac:dyDescent="0.2"/>
    <row r="3235" s="238" customFormat="1" ht="14.25" x14ac:dyDescent="0.2"/>
    <row r="3236" s="238" customFormat="1" ht="14.25" x14ac:dyDescent="0.2"/>
    <row r="3237" s="238" customFormat="1" ht="14.25" x14ac:dyDescent="0.2"/>
    <row r="3238" s="238" customFormat="1" ht="14.25" x14ac:dyDescent="0.2"/>
    <row r="3239" s="238" customFormat="1" ht="14.25" x14ac:dyDescent="0.2"/>
    <row r="3240" s="238" customFormat="1" ht="14.25" x14ac:dyDescent="0.2"/>
    <row r="3241" s="238" customFormat="1" ht="14.25" x14ac:dyDescent="0.2"/>
    <row r="3242" s="238" customFormat="1" ht="14.25" x14ac:dyDescent="0.2"/>
    <row r="3243" s="238" customFormat="1" ht="14.25" x14ac:dyDescent="0.2"/>
    <row r="3244" s="238" customFormat="1" ht="14.25" x14ac:dyDescent="0.2"/>
    <row r="3245" s="238" customFormat="1" ht="14.25" x14ac:dyDescent="0.2"/>
    <row r="3246" s="238" customFormat="1" ht="14.25" x14ac:dyDescent="0.2"/>
    <row r="3247" s="238" customFormat="1" ht="14.25" x14ac:dyDescent="0.2"/>
    <row r="3248" s="238" customFormat="1" ht="14.25" x14ac:dyDescent="0.2"/>
    <row r="3249" s="238" customFormat="1" ht="14.25" x14ac:dyDescent="0.2"/>
    <row r="3250" s="238" customFormat="1" ht="14.25" x14ac:dyDescent="0.2"/>
    <row r="3251" s="238" customFormat="1" ht="14.25" x14ac:dyDescent="0.2"/>
    <row r="3252" s="238" customFormat="1" ht="14.25" x14ac:dyDescent="0.2"/>
    <row r="3253" s="238" customFormat="1" ht="14.25" x14ac:dyDescent="0.2"/>
    <row r="3254" s="238" customFormat="1" ht="14.25" x14ac:dyDescent="0.2"/>
    <row r="3255" s="238" customFormat="1" ht="14.25" x14ac:dyDescent="0.2"/>
    <row r="3256" s="238" customFormat="1" ht="14.25" x14ac:dyDescent="0.2"/>
    <row r="3257" s="238" customFormat="1" ht="14.25" x14ac:dyDescent="0.2"/>
    <row r="3258" s="238" customFormat="1" ht="14.25" x14ac:dyDescent="0.2"/>
    <row r="3259" s="238" customFormat="1" ht="14.25" x14ac:dyDescent="0.2"/>
    <row r="3260" s="238" customFormat="1" ht="14.25" x14ac:dyDescent="0.2"/>
    <row r="3261" s="238" customFormat="1" ht="14.25" x14ac:dyDescent="0.2"/>
    <row r="3262" s="238" customFormat="1" ht="14.25" x14ac:dyDescent="0.2"/>
    <row r="3263" s="238" customFormat="1" ht="14.25" x14ac:dyDescent="0.2"/>
    <row r="3264" s="238" customFormat="1" ht="14.25" x14ac:dyDescent="0.2"/>
    <row r="3265" s="238" customFormat="1" ht="14.25" x14ac:dyDescent="0.2"/>
    <row r="3266" s="238" customFormat="1" ht="14.25" x14ac:dyDescent="0.2"/>
    <row r="3267" s="238" customFormat="1" ht="14.25" x14ac:dyDescent="0.2"/>
    <row r="3268" s="238" customFormat="1" ht="14.25" x14ac:dyDescent="0.2"/>
    <row r="3269" s="238" customFormat="1" ht="14.25" x14ac:dyDescent="0.2"/>
    <row r="3270" s="238" customFormat="1" ht="14.25" x14ac:dyDescent="0.2"/>
    <row r="3271" s="238" customFormat="1" ht="14.25" x14ac:dyDescent="0.2"/>
    <row r="3272" s="238" customFormat="1" ht="14.25" x14ac:dyDescent="0.2"/>
    <row r="3273" s="238" customFormat="1" ht="14.25" x14ac:dyDescent="0.2"/>
    <row r="3274" s="238" customFormat="1" ht="14.25" x14ac:dyDescent="0.2"/>
    <row r="3275" s="238" customFormat="1" ht="14.25" x14ac:dyDescent="0.2"/>
    <row r="3276" s="238" customFormat="1" ht="14.25" x14ac:dyDescent="0.2"/>
    <row r="3277" s="238" customFormat="1" ht="14.25" x14ac:dyDescent="0.2"/>
    <row r="3278" s="238" customFormat="1" ht="14.25" x14ac:dyDescent="0.2"/>
    <row r="3279" s="238" customFormat="1" ht="14.25" x14ac:dyDescent="0.2"/>
    <row r="3280" s="238" customFormat="1" ht="14.25" x14ac:dyDescent="0.2"/>
    <row r="3281" s="238" customFormat="1" ht="14.25" x14ac:dyDescent="0.2"/>
    <row r="3282" s="238" customFormat="1" ht="14.25" x14ac:dyDescent="0.2"/>
    <row r="3283" s="238" customFormat="1" ht="14.25" x14ac:dyDescent="0.2"/>
    <row r="3284" s="238" customFormat="1" ht="14.25" x14ac:dyDescent="0.2"/>
    <row r="3285" s="238" customFormat="1" ht="14.25" x14ac:dyDescent="0.2"/>
    <row r="3286" s="238" customFormat="1" ht="14.25" x14ac:dyDescent="0.2"/>
    <row r="3287" s="238" customFormat="1" ht="14.25" x14ac:dyDescent="0.2"/>
    <row r="3288" s="238" customFormat="1" ht="14.25" x14ac:dyDescent="0.2"/>
    <row r="3289" s="238" customFormat="1" ht="14.25" x14ac:dyDescent="0.2"/>
    <row r="3290" s="238" customFormat="1" ht="14.25" x14ac:dyDescent="0.2"/>
    <row r="3291" s="238" customFormat="1" ht="14.25" x14ac:dyDescent="0.2"/>
    <row r="3292" s="238" customFormat="1" ht="14.25" x14ac:dyDescent="0.2"/>
    <row r="3293" s="238" customFormat="1" ht="14.25" x14ac:dyDescent="0.2"/>
    <row r="3294" s="238" customFormat="1" ht="14.25" x14ac:dyDescent="0.2"/>
    <row r="3295" s="238" customFormat="1" ht="14.25" x14ac:dyDescent="0.2"/>
    <row r="3296" s="238" customFormat="1" ht="14.25" x14ac:dyDescent="0.2"/>
    <row r="3297" s="238" customFormat="1" ht="14.25" x14ac:dyDescent="0.2"/>
    <row r="3298" s="238" customFormat="1" ht="14.25" x14ac:dyDescent="0.2"/>
    <row r="3299" s="238" customFormat="1" ht="14.25" x14ac:dyDescent="0.2"/>
    <row r="3300" s="238" customFormat="1" ht="14.25" x14ac:dyDescent="0.2"/>
    <row r="3301" s="238" customFormat="1" ht="14.25" x14ac:dyDescent="0.2"/>
    <row r="3302" s="238" customFormat="1" ht="14.25" x14ac:dyDescent="0.2"/>
    <row r="3303" s="238" customFormat="1" ht="14.25" x14ac:dyDescent="0.2"/>
    <row r="3304" s="238" customFormat="1" ht="14.25" x14ac:dyDescent="0.2"/>
    <row r="3305" s="238" customFormat="1" ht="14.25" x14ac:dyDescent="0.2"/>
    <row r="3306" s="238" customFormat="1" ht="14.25" x14ac:dyDescent="0.2"/>
    <row r="3307" s="238" customFormat="1" ht="14.25" x14ac:dyDescent="0.2"/>
    <row r="3308" s="238" customFormat="1" ht="14.25" x14ac:dyDescent="0.2"/>
    <row r="3309" s="238" customFormat="1" ht="14.25" x14ac:dyDescent="0.2"/>
    <row r="3310" s="238" customFormat="1" ht="14.25" x14ac:dyDescent="0.2"/>
    <row r="3311" s="238" customFormat="1" ht="14.25" x14ac:dyDescent="0.2"/>
    <row r="3312" s="238" customFormat="1" ht="14.25" x14ac:dyDescent="0.2"/>
    <row r="3313" s="238" customFormat="1" ht="14.25" x14ac:dyDescent="0.2"/>
    <row r="3314" s="238" customFormat="1" ht="14.25" x14ac:dyDescent="0.2"/>
    <row r="3315" s="238" customFormat="1" ht="14.25" x14ac:dyDescent="0.2"/>
    <row r="3316" s="238" customFormat="1" ht="14.25" x14ac:dyDescent="0.2"/>
    <row r="3317" s="238" customFormat="1" ht="14.25" x14ac:dyDescent="0.2"/>
    <row r="3318" s="238" customFormat="1" ht="14.25" x14ac:dyDescent="0.2"/>
    <row r="3319" s="238" customFormat="1" ht="14.25" x14ac:dyDescent="0.2"/>
    <row r="3320" s="238" customFormat="1" ht="14.25" x14ac:dyDescent="0.2"/>
    <row r="3321" s="238" customFormat="1" ht="14.25" x14ac:dyDescent="0.2"/>
    <row r="3322" s="238" customFormat="1" ht="14.25" x14ac:dyDescent="0.2"/>
    <row r="3323" s="238" customFormat="1" ht="14.25" x14ac:dyDescent="0.2"/>
    <row r="3324" s="238" customFormat="1" ht="14.25" x14ac:dyDescent="0.2"/>
    <row r="3325" s="238" customFormat="1" ht="14.25" x14ac:dyDescent="0.2"/>
    <row r="3326" s="238" customFormat="1" ht="14.25" x14ac:dyDescent="0.2"/>
    <row r="3327" s="238" customFormat="1" ht="14.25" x14ac:dyDescent="0.2"/>
    <row r="3328" s="238" customFormat="1" ht="14.25" x14ac:dyDescent="0.2"/>
    <row r="3329" s="238" customFormat="1" ht="14.25" x14ac:dyDescent="0.2"/>
    <row r="3330" s="238" customFormat="1" ht="14.25" x14ac:dyDescent="0.2"/>
    <row r="3331" s="238" customFormat="1" ht="14.25" x14ac:dyDescent="0.2"/>
    <row r="3332" s="238" customFormat="1" ht="14.25" x14ac:dyDescent="0.2"/>
    <row r="3333" s="238" customFormat="1" ht="14.25" x14ac:dyDescent="0.2"/>
    <row r="3334" s="238" customFormat="1" ht="14.25" x14ac:dyDescent="0.2"/>
    <row r="3335" s="238" customFormat="1" ht="14.25" x14ac:dyDescent="0.2"/>
    <row r="3336" s="238" customFormat="1" ht="14.25" x14ac:dyDescent="0.2"/>
    <row r="3337" s="238" customFormat="1" ht="14.25" x14ac:dyDescent="0.2"/>
    <row r="3338" s="238" customFormat="1" ht="14.25" x14ac:dyDescent="0.2"/>
    <row r="3339" s="238" customFormat="1" ht="14.25" x14ac:dyDescent="0.2"/>
    <row r="3340" s="238" customFormat="1" ht="14.25" x14ac:dyDescent="0.2"/>
    <row r="3341" s="238" customFormat="1" ht="14.25" x14ac:dyDescent="0.2"/>
    <row r="3342" s="238" customFormat="1" ht="14.25" x14ac:dyDescent="0.2"/>
    <row r="3343" s="238" customFormat="1" ht="14.25" x14ac:dyDescent="0.2"/>
    <row r="3344" s="238" customFormat="1" ht="14.25" x14ac:dyDescent="0.2"/>
    <row r="3345" s="238" customFormat="1" ht="14.25" x14ac:dyDescent="0.2"/>
    <row r="3346" s="238" customFormat="1" ht="14.25" x14ac:dyDescent="0.2"/>
    <row r="3347" s="238" customFormat="1" ht="14.25" x14ac:dyDescent="0.2"/>
    <row r="3348" s="238" customFormat="1" ht="14.25" x14ac:dyDescent="0.2"/>
    <row r="3349" s="238" customFormat="1" ht="14.25" x14ac:dyDescent="0.2"/>
    <row r="3350" s="238" customFormat="1" ht="14.25" x14ac:dyDescent="0.2"/>
    <row r="3351" s="238" customFormat="1" ht="14.25" x14ac:dyDescent="0.2"/>
    <row r="3352" s="238" customFormat="1" ht="14.25" x14ac:dyDescent="0.2"/>
    <row r="3353" s="238" customFormat="1" ht="14.25" x14ac:dyDescent="0.2"/>
    <row r="3354" s="238" customFormat="1" ht="14.25" x14ac:dyDescent="0.2"/>
    <row r="3355" s="238" customFormat="1" ht="14.25" x14ac:dyDescent="0.2"/>
    <row r="3356" s="238" customFormat="1" ht="14.25" x14ac:dyDescent="0.2"/>
    <row r="3357" s="238" customFormat="1" ht="14.25" x14ac:dyDescent="0.2"/>
    <row r="3358" s="238" customFormat="1" ht="14.25" x14ac:dyDescent="0.2"/>
    <row r="3359" s="238" customFormat="1" ht="14.25" x14ac:dyDescent="0.2"/>
    <row r="3360" s="238" customFormat="1" ht="14.25" x14ac:dyDescent="0.2"/>
    <row r="3361" s="238" customFormat="1" ht="14.25" x14ac:dyDescent="0.2"/>
    <row r="3362" s="238" customFormat="1" ht="14.25" x14ac:dyDescent="0.2"/>
    <row r="3363" s="238" customFormat="1" ht="14.25" x14ac:dyDescent="0.2"/>
    <row r="3364" s="238" customFormat="1" ht="14.25" x14ac:dyDescent="0.2"/>
    <row r="3365" s="238" customFormat="1" ht="14.25" x14ac:dyDescent="0.2"/>
    <row r="3366" s="238" customFormat="1" ht="14.25" x14ac:dyDescent="0.2"/>
    <row r="3367" s="238" customFormat="1" ht="14.25" x14ac:dyDescent="0.2"/>
    <row r="3368" s="238" customFormat="1" ht="14.25" x14ac:dyDescent="0.2"/>
    <row r="3369" s="238" customFormat="1" ht="14.25" x14ac:dyDescent="0.2"/>
    <row r="3370" s="238" customFormat="1" ht="14.25" x14ac:dyDescent="0.2"/>
    <row r="3371" s="238" customFormat="1" ht="14.25" x14ac:dyDescent="0.2"/>
    <row r="3372" s="238" customFormat="1" ht="14.25" x14ac:dyDescent="0.2"/>
    <row r="3373" s="238" customFormat="1" ht="14.25" x14ac:dyDescent="0.2"/>
    <row r="3374" s="238" customFormat="1" ht="14.25" x14ac:dyDescent="0.2"/>
    <row r="3375" s="238" customFormat="1" ht="14.25" x14ac:dyDescent="0.2"/>
    <row r="3376" s="238" customFormat="1" ht="14.25" x14ac:dyDescent="0.2"/>
    <row r="3377" s="238" customFormat="1" ht="14.25" x14ac:dyDescent="0.2"/>
    <row r="3378" s="238" customFormat="1" ht="14.25" x14ac:dyDescent="0.2"/>
    <row r="3379" s="238" customFormat="1" ht="14.25" x14ac:dyDescent="0.2"/>
    <row r="3380" s="238" customFormat="1" ht="14.25" x14ac:dyDescent="0.2"/>
    <row r="3381" s="238" customFormat="1" ht="14.25" x14ac:dyDescent="0.2"/>
    <row r="3382" s="238" customFormat="1" ht="14.25" x14ac:dyDescent="0.2"/>
    <row r="3383" s="238" customFormat="1" ht="14.25" x14ac:dyDescent="0.2"/>
    <row r="3384" s="238" customFormat="1" ht="14.25" x14ac:dyDescent="0.2"/>
    <row r="3385" s="238" customFormat="1" ht="14.25" x14ac:dyDescent="0.2"/>
    <row r="3386" s="238" customFormat="1" ht="14.25" x14ac:dyDescent="0.2"/>
    <row r="3387" s="238" customFormat="1" ht="14.25" x14ac:dyDescent="0.2"/>
    <row r="3388" s="238" customFormat="1" ht="14.25" x14ac:dyDescent="0.2"/>
    <row r="3389" s="238" customFormat="1" ht="14.25" x14ac:dyDescent="0.2"/>
    <row r="3390" s="238" customFormat="1" ht="14.25" x14ac:dyDescent="0.2"/>
    <row r="3391" s="238" customFormat="1" ht="14.25" x14ac:dyDescent="0.2"/>
    <row r="3392" s="238" customFormat="1" ht="14.25" x14ac:dyDescent="0.2"/>
    <row r="3393" s="238" customFormat="1" ht="14.25" x14ac:dyDescent="0.2"/>
    <row r="3394" s="238" customFormat="1" ht="14.25" x14ac:dyDescent="0.2"/>
    <row r="3395" s="238" customFormat="1" ht="14.25" x14ac:dyDescent="0.2"/>
    <row r="3396" s="238" customFormat="1" ht="14.25" x14ac:dyDescent="0.2"/>
    <row r="3397" s="238" customFormat="1" ht="14.25" x14ac:dyDescent="0.2"/>
    <row r="3398" s="238" customFormat="1" ht="14.25" x14ac:dyDescent="0.2"/>
    <row r="3399" s="238" customFormat="1" ht="14.25" x14ac:dyDescent="0.2"/>
    <row r="3400" s="238" customFormat="1" ht="14.25" x14ac:dyDescent="0.2"/>
    <row r="3401" s="238" customFormat="1" ht="14.25" x14ac:dyDescent="0.2"/>
    <row r="3402" s="238" customFormat="1" ht="14.25" x14ac:dyDescent="0.2"/>
    <row r="3403" s="238" customFormat="1" ht="14.25" x14ac:dyDescent="0.2"/>
    <row r="3404" s="238" customFormat="1" ht="14.25" x14ac:dyDescent="0.2"/>
    <row r="3405" s="238" customFormat="1" ht="14.25" x14ac:dyDescent="0.2"/>
    <row r="3406" s="238" customFormat="1" ht="14.25" x14ac:dyDescent="0.2"/>
    <row r="3407" s="238" customFormat="1" ht="14.25" x14ac:dyDescent="0.2"/>
    <row r="3408" s="238" customFormat="1" ht="14.25" x14ac:dyDescent="0.2"/>
    <row r="3409" s="238" customFormat="1" ht="14.25" x14ac:dyDescent="0.2"/>
    <row r="3410" s="238" customFormat="1" ht="14.25" x14ac:dyDescent="0.2"/>
    <row r="3411" s="238" customFormat="1" ht="14.25" x14ac:dyDescent="0.2"/>
    <row r="3412" s="238" customFormat="1" ht="14.25" x14ac:dyDescent="0.2"/>
    <row r="3413" s="238" customFormat="1" ht="14.25" x14ac:dyDescent="0.2"/>
    <row r="3414" s="238" customFormat="1" ht="14.25" x14ac:dyDescent="0.2"/>
    <row r="3415" s="238" customFormat="1" ht="14.25" x14ac:dyDescent="0.2"/>
    <row r="3416" s="238" customFormat="1" ht="14.25" x14ac:dyDescent="0.2"/>
    <row r="3417" s="238" customFormat="1" ht="14.25" x14ac:dyDescent="0.2"/>
    <row r="3418" s="238" customFormat="1" ht="14.25" x14ac:dyDescent="0.2"/>
    <row r="3419" s="238" customFormat="1" ht="14.25" x14ac:dyDescent="0.2"/>
    <row r="3420" s="238" customFormat="1" ht="14.25" x14ac:dyDescent="0.2"/>
    <row r="3421" s="238" customFormat="1" ht="14.25" x14ac:dyDescent="0.2"/>
    <row r="3422" s="238" customFormat="1" ht="14.25" x14ac:dyDescent="0.2"/>
    <row r="3423" s="238" customFormat="1" ht="14.25" x14ac:dyDescent="0.2"/>
    <row r="3424" s="238" customFormat="1" ht="14.25" x14ac:dyDescent="0.2"/>
    <row r="3425" s="238" customFormat="1" ht="14.25" x14ac:dyDescent="0.2"/>
    <row r="3426" s="238" customFormat="1" ht="14.25" x14ac:dyDescent="0.2"/>
    <row r="3427" s="238" customFormat="1" ht="14.25" x14ac:dyDescent="0.2"/>
    <row r="3428" s="238" customFormat="1" ht="14.25" x14ac:dyDescent="0.2"/>
    <row r="3429" s="238" customFormat="1" ht="14.25" x14ac:dyDescent="0.2"/>
    <row r="3430" s="238" customFormat="1" ht="14.25" x14ac:dyDescent="0.2"/>
    <row r="3431" s="238" customFormat="1" ht="14.25" x14ac:dyDescent="0.2"/>
    <row r="3432" s="238" customFormat="1" ht="14.25" x14ac:dyDescent="0.2"/>
    <row r="3433" s="238" customFormat="1" ht="14.25" x14ac:dyDescent="0.2"/>
    <row r="3434" s="238" customFormat="1" ht="14.25" x14ac:dyDescent="0.2"/>
    <row r="3435" s="238" customFormat="1" ht="14.25" x14ac:dyDescent="0.2"/>
    <row r="3436" s="238" customFormat="1" ht="14.25" x14ac:dyDescent="0.2"/>
    <row r="3437" s="238" customFormat="1" ht="14.25" x14ac:dyDescent="0.2"/>
    <row r="3438" s="238" customFormat="1" ht="14.25" x14ac:dyDescent="0.2"/>
    <row r="3439" s="238" customFormat="1" ht="14.25" x14ac:dyDescent="0.2"/>
    <row r="3440" s="238" customFormat="1" ht="14.25" x14ac:dyDescent="0.2"/>
    <row r="3441" s="238" customFormat="1" ht="14.25" x14ac:dyDescent="0.2"/>
    <row r="3442" s="238" customFormat="1" ht="14.25" x14ac:dyDescent="0.2"/>
    <row r="3443" s="238" customFormat="1" ht="14.25" x14ac:dyDescent="0.2"/>
    <row r="3444" s="238" customFormat="1" ht="14.25" x14ac:dyDescent="0.2"/>
    <row r="3445" s="238" customFormat="1" ht="14.25" x14ac:dyDescent="0.2"/>
    <row r="3446" s="238" customFormat="1" ht="14.25" x14ac:dyDescent="0.2"/>
    <row r="3447" s="238" customFormat="1" ht="14.25" x14ac:dyDescent="0.2"/>
    <row r="3448" s="238" customFormat="1" ht="14.25" x14ac:dyDescent="0.2"/>
    <row r="3449" s="238" customFormat="1" ht="14.25" x14ac:dyDescent="0.2"/>
    <row r="3450" s="238" customFormat="1" ht="14.25" x14ac:dyDescent="0.2"/>
    <row r="3451" s="238" customFormat="1" ht="14.25" x14ac:dyDescent="0.2"/>
    <row r="3452" s="238" customFormat="1" ht="14.25" x14ac:dyDescent="0.2"/>
    <row r="3453" s="238" customFormat="1" ht="14.25" x14ac:dyDescent="0.2"/>
    <row r="3454" s="238" customFormat="1" ht="14.25" x14ac:dyDescent="0.2"/>
    <row r="3455" s="238" customFormat="1" ht="14.25" x14ac:dyDescent="0.2"/>
    <row r="3456" s="238" customFormat="1" ht="14.25" x14ac:dyDescent="0.2"/>
    <row r="3457" s="238" customFormat="1" ht="14.25" x14ac:dyDescent="0.2"/>
    <row r="3458" s="238" customFormat="1" ht="14.25" x14ac:dyDescent="0.2"/>
    <row r="3459" s="238" customFormat="1" ht="14.25" x14ac:dyDescent="0.2"/>
    <row r="3460" s="238" customFormat="1" ht="14.25" x14ac:dyDescent="0.2"/>
    <row r="3461" s="238" customFormat="1" ht="14.25" x14ac:dyDescent="0.2"/>
    <row r="3462" s="238" customFormat="1" ht="14.25" x14ac:dyDescent="0.2"/>
    <row r="3463" s="238" customFormat="1" ht="14.25" x14ac:dyDescent="0.2"/>
    <row r="3464" s="238" customFormat="1" ht="14.25" x14ac:dyDescent="0.2"/>
    <row r="3465" s="238" customFormat="1" ht="14.25" x14ac:dyDescent="0.2"/>
    <row r="3466" s="238" customFormat="1" ht="14.25" x14ac:dyDescent="0.2"/>
    <row r="3467" s="238" customFormat="1" ht="14.25" x14ac:dyDescent="0.2"/>
    <row r="3468" s="238" customFormat="1" ht="14.25" x14ac:dyDescent="0.2"/>
    <row r="3469" s="238" customFormat="1" ht="14.25" x14ac:dyDescent="0.2"/>
    <row r="3470" s="238" customFormat="1" ht="14.25" x14ac:dyDescent="0.2"/>
    <row r="3471" s="238" customFormat="1" ht="14.25" x14ac:dyDescent="0.2"/>
    <row r="3472" s="238" customFormat="1" ht="14.25" x14ac:dyDescent="0.2"/>
    <row r="3473" s="238" customFormat="1" ht="14.25" x14ac:dyDescent="0.2"/>
    <row r="3474" s="238" customFormat="1" ht="14.25" x14ac:dyDescent="0.2"/>
    <row r="3475" s="238" customFormat="1" ht="14.25" x14ac:dyDescent="0.2"/>
    <row r="3476" s="238" customFormat="1" ht="14.25" x14ac:dyDescent="0.2"/>
    <row r="3477" s="238" customFormat="1" ht="14.25" x14ac:dyDescent="0.2"/>
    <row r="3478" s="238" customFormat="1" ht="14.25" x14ac:dyDescent="0.2"/>
    <row r="3479" s="238" customFormat="1" ht="14.25" x14ac:dyDescent="0.2"/>
    <row r="3480" s="238" customFormat="1" ht="14.25" x14ac:dyDescent="0.2"/>
    <row r="3481" s="238" customFormat="1" ht="14.25" x14ac:dyDescent="0.2"/>
    <row r="3482" s="238" customFormat="1" ht="14.25" x14ac:dyDescent="0.2"/>
    <row r="3483" s="238" customFormat="1" ht="14.25" x14ac:dyDescent="0.2"/>
    <row r="3484" s="238" customFormat="1" ht="14.25" x14ac:dyDescent="0.2"/>
    <row r="3485" s="238" customFormat="1" ht="14.25" x14ac:dyDescent="0.2"/>
    <row r="3486" s="238" customFormat="1" ht="14.25" x14ac:dyDescent="0.2"/>
    <row r="3487" s="238" customFormat="1" ht="14.25" x14ac:dyDescent="0.2"/>
    <row r="3488" s="238" customFormat="1" ht="14.25" x14ac:dyDescent="0.2"/>
    <row r="3489" s="238" customFormat="1" ht="14.25" x14ac:dyDescent="0.2"/>
    <row r="3490" s="238" customFormat="1" ht="14.25" x14ac:dyDescent="0.2"/>
    <row r="3491" s="238" customFormat="1" ht="14.25" x14ac:dyDescent="0.2"/>
    <row r="3492" s="238" customFormat="1" ht="14.25" x14ac:dyDescent="0.2"/>
    <row r="3493" s="238" customFormat="1" ht="14.25" x14ac:dyDescent="0.2"/>
    <row r="3494" s="238" customFormat="1" ht="14.25" x14ac:dyDescent="0.2"/>
    <row r="3495" s="238" customFormat="1" ht="14.25" x14ac:dyDescent="0.2"/>
    <row r="3496" s="238" customFormat="1" ht="14.25" x14ac:dyDescent="0.2"/>
    <row r="3497" s="238" customFormat="1" ht="14.25" x14ac:dyDescent="0.2"/>
    <row r="3498" s="238" customFormat="1" ht="14.25" x14ac:dyDescent="0.2"/>
    <row r="3499" s="238" customFormat="1" ht="14.25" x14ac:dyDescent="0.2"/>
    <row r="3500" s="238" customFormat="1" ht="14.25" x14ac:dyDescent="0.2"/>
    <row r="3501" s="238" customFormat="1" ht="14.25" x14ac:dyDescent="0.2"/>
    <row r="3502" s="238" customFormat="1" ht="14.25" x14ac:dyDescent="0.2"/>
    <row r="3503" s="238" customFormat="1" ht="14.25" x14ac:dyDescent="0.2"/>
    <row r="3504" s="238" customFormat="1" ht="14.25" x14ac:dyDescent="0.2"/>
    <row r="3505" s="238" customFormat="1" ht="14.25" x14ac:dyDescent="0.2"/>
    <row r="3506" s="238" customFormat="1" ht="14.25" x14ac:dyDescent="0.2"/>
    <row r="3507" s="238" customFormat="1" ht="14.25" x14ac:dyDescent="0.2"/>
    <row r="3508" s="238" customFormat="1" ht="14.25" x14ac:dyDescent="0.2"/>
    <row r="3509" s="238" customFormat="1" ht="14.25" x14ac:dyDescent="0.2"/>
    <row r="3510" s="238" customFormat="1" ht="14.25" x14ac:dyDescent="0.2"/>
    <row r="3511" s="238" customFormat="1" ht="14.25" x14ac:dyDescent="0.2"/>
    <row r="3512" s="238" customFormat="1" ht="14.25" x14ac:dyDescent="0.2"/>
    <row r="3513" s="238" customFormat="1" ht="14.25" x14ac:dyDescent="0.2"/>
    <row r="3514" s="238" customFormat="1" ht="14.25" x14ac:dyDescent="0.2"/>
    <row r="3515" s="238" customFormat="1" ht="14.25" x14ac:dyDescent="0.2"/>
    <row r="3516" s="238" customFormat="1" ht="14.25" x14ac:dyDescent="0.2"/>
    <row r="3517" s="238" customFormat="1" ht="14.25" x14ac:dyDescent="0.2"/>
    <row r="3518" s="238" customFormat="1" ht="14.25" x14ac:dyDescent="0.2"/>
    <row r="3519" s="238" customFormat="1" ht="14.25" x14ac:dyDescent="0.2"/>
    <row r="3520" s="238" customFormat="1" ht="14.25" x14ac:dyDescent="0.2"/>
    <row r="3521" s="238" customFormat="1" ht="14.25" x14ac:dyDescent="0.2"/>
    <row r="3522" s="238" customFormat="1" ht="14.25" x14ac:dyDescent="0.2"/>
    <row r="3523" s="238" customFormat="1" ht="14.25" x14ac:dyDescent="0.2"/>
    <row r="3524" s="238" customFormat="1" ht="14.25" x14ac:dyDescent="0.2"/>
    <row r="3525" s="238" customFormat="1" ht="14.25" x14ac:dyDescent="0.2"/>
    <row r="3526" s="238" customFormat="1" ht="14.25" x14ac:dyDescent="0.2"/>
    <row r="3527" s="238" customFormat="1" ht="14.25" x14ac:dyDescent="0.2"/>
    <row r="3528" s="238" customFormat="1" ht="14.25" x14ac:dyDescent="0.2"/>
    <row r="3529" s="238" customFormat="1" ht="14.25" x14ac:dyDescent="0.2"/>
    <row r="3530" s="238" customFormat="1" ht="14.25" x14ac:dyDescent="0.2"/>
    <row r="3531" s="238" customFormat="1" ht="14.25" x14ac:dyDescent="0.2"/>
    <row r="3532" s="238" customFormat="1" ht="14.25" x14ac:dyDescent="0.2"/>
    <row r="3533" s="238" customFormat="1" ht="14.25" x14ac:dyDescent="0.2"/>
    <row r="3534" s="238" customFormat="1" ht="14.25" x14ac:dyDescent="0.2"/>
    <row r="3535" s="238" customFormat="1" ht="14.25" x14ac:dyDescent="0.2"/>
    <row r="3536" s="238" customFormat="1" ht="14.25" x14ac:dyDescent="0.2"/>
    <row r="3537" s="238" customFormat="1" ht="14.25" x14ac:dyDescent="0.2"/>
    <row r="3538" s="238" customFormat="1" ht="14.25" x14ac:dyDescent="0.2"/>
    <row r="3539" s="238" customFormat="1" ht="14.25" x14ac:dyDescent="0.2"/>
    <row r="3540" s="238" customFormat="1" ht="14.25" x14ac:dyDescent="0.2"/>
    <row r="3541" s="238" customFormat="1" ht="14.25" x14ac:dyDescent="0.2"/>
    <row r="3542" s="238" customFormat="1" ht="14.25" x14ac:dyDescent="0.2"/>
    <row r="3543" s="238" customFormat="1" ht="14.25" x14ac:dyDescent="0.2"/>
    <row r="3544" s="238" customFormat="1" ht="14.25" x14ac:dyDescent="0.2"/>
    <row r="3545" s="238" customFormat="1" ht="14.25" x14ac:dyDescent="0.2"/>
    <row r="3546" s="238" customFormat="1" ht="14.25" x14ac:dyDescent="0.2"/>
    <row r="3547" s="238" customFormat="1" ht="14.25" x14ac:dyDescent="0.2"/>
    <row r="3548" s="238" customFormat="1" ht="14.25" x14ac:dyDescent="0.2"/>
    <row r="3549" s="238" customFormat="1" ht="14.25" x14ac:dyDescent="0.2"/>
    <row r="3550" s="238" customFormat="1" ht="14.25" x14ac:dyDescent="0.2"/>
    <row r="3551" s="238" customFormat="1" ht="14.25" x14ac:dyDescent="0.2"/>
    <row r="3552" s="238" customFormat="1" ht="14.25" x14ac:dyDescent="0.2"/>
    <row r="3553" s="238" customFormat="1" ht="14.25" x14ac:dyDescent="0.2"/>
    <row r="3554" s="238" customFormat="1" ht="14.25" x14ac:dyDescent="0.2"/>
    <row r="3555" s="238" customFormat="1" ht="14.25" x14ac:dyDescent="0.2"/>
    <row r="3556" s="238" customFormat="1" ht="14.25" x14ac:dyDescent="0.2"/>
    <row r="3557" s="238" customFormat="1" ht="14.25" x14ac:dyDescent="0.2"/>
    <row r="3558" s="238" customFormat="1" ht="14.25" x14ac:dyDescent="0.2"/>
    <row r="3559" s="238" customFormat="1" ht="14.25" x14ac:dyDescent="0.2"/>
    <row r="3560" s="238" customFormat="1" ht="14.25" x14ac:dyDescent="0.2"/>
    <row r="3561" s="238" customFormat="1" ht="14.25" x14ac:dyDescent="0.2"/>
    <row r="3562" s="238" customFormat="1" ht="14.25" x14ac:dyDescent="0.2"/>
    <row r="3563" s="238" customFormat="1" ht="14.25" x14ac:dyDescent="0.2"/>
    <row r="3564" s="238" customFormat="1" ht="14.25" x14ac:dyDescent="0.2"/>
    <row r="3565" s="238" customFormat="1" ht="14.25" x14ac:dyDescent="0.2"/>
    <row r="3566" s="238" customFormat="1" ht="14.25" x14ac:dyDescent="0.2"/>
    <row r="3567" s="238" customFormat="1" ht="14.25" x14ac:dyDescent="0.2"/>
    <row r="3568" s="238" customFormat="1" ht="14.25" x14ac:dyDescent="0.2"/>
    <row r="3569" s="238" customFormat="1" ht="14.25" x14ac:dyDescent="0.2"/>
    <row r="3570" s="238" customFormat="1" ht="14.25" x14ac:dyDescent="0.2"/>
    <row r="3571" s="238" customFormat="1" ht="14.25" x14ac:dyDescent="0.2"/>
    <row r="3572" s="238" customFormat="1" ht="14.25" x14ac:dyDescent="0.2"/>
    <row r="3573" s="238" customFormat="1" ht="14.25" x14ac:dyDescent="0.2"/>
    <row r="3574" s="238" customFormat="1" ht="14.25" x14ac:dyDescent="0.2"/>
    <row r="3575" s="238" customFormat="1" ht="14.25" x14ac:dyDescent="0.2"/>
    <row r="3576" s="238" customFormat="1" ht="14.25" x14ac:dyDescent="0.2"/>
    <row r="3577" s="238" customFormat="1" ht="14.25" x14ac:dyDescent="0.2"/>
    <row r="3578" s="238" customFormat="1" ht="14.25" x14ac:dyDescent="0.2"/>
    <row r="3579" s="238" customFormat="1" ht="14.25" x14ac:dyDescent="0.2"/>
    <row r="3580" s="238" customFormat="1" ht="14.25" x14ac:dyDescent="0.2"/>
    <row r="3581" s="238" customFormat="1" ht="14.25" x14ac:dyDescent="0.2"/>
    <row r="3582" s="238" customFormat="1" ht="14.25" x14ac:dyDescent="0.2"/>
    <row r="3583" s="238" customFormat="1" ht="14.25" x14ac:dyDescent="0.2"/>
    <row r="3584" s="238" customFormat="1" ht="14.25" x14ac:dyDescent="0.2"/>
    <row r="3585" s="238" customFormat="1" ht="14.25" x14ac:dyDescent="0.2"/>
    <row r="3586" s="238" customFormat="1" ht="14.25" x14ac:dyDescent="0.2"/>
    <row r="3587" s="238" customFormat="1" ht="14.25" x14ac:dyDescent="0.2"/>
    <row r="3588" s="238" customFormat="1" ht="14.25" x14ac:dyDescent="0.2"/>
    <row r="3589" s="238" customFormat="1" ht="14.25" x14ac:dyDescent="0.2"/>
    <row r="3590" s="238" customFormat="1" ht="14.25" x14ac:dyDescent="0.2"/>
    <row r="3591" s="238" customFormat="1" ht="14.25" x14ac:dyDescent="0.2"/>
    <row r="3592" s="238" customFormat="1" ht="14.25" x14ac:dyDescent="0.2"/>
    <row r="3593" s="238" customFormat="1" ht="14.25" x14ac:dyDescent="0.2"/>
    <row r="3594" s="238" customFormat="1" ht="14.25" x14ac:dyDescent="0.2"/>
    <row r="3595" s="238" customFormat="1" ht="14.25" x14ac:dyDescent="0.2"/>
    <row r="3596" s="238" customFormat="1" ht="14.25" x14ac:dyDescent="0.2"/>
    <row r="3597" s="238" customFormat="1" ht="14.25" x14ac:dyDescent="0.2"/>
    <row r="3598" s="238" customFormat="1" ht="14.25" x14ac:dyDescent="0.2"/>
    <row r="3599" s="238" customFormat="1" ht="14.25" x14ac:dyDescent="0.2"/>
    <row r="3600" s="238" customFormat="1" ht="14.25" x14ac:dyDescent="0.2"/>
    <row r="3601" s="238" customFormat="1" ht="14.25" x14ac:dyDescent="0.2"/>
    <row r="3602" s="238" customFormat="1" ht="14.25" x14ac:dyDescent="0.2"/>
    <row r="3603" s="238" customFormat="1" ht="14.25" x14ac:dyDescent="0.2"/>
    <row r="3604" s="238" customFormat="1" ht="14.25" x14ac:dyDescent="0.2"/>
    <row r="3605" s="238" customFormat="1" ht="14.25" x14ac:dyDescent="0.2"/>
    <row r="3606" s="238" customFormat="1" ht="14.25" x14ac:dyDescent="0.2"/>
    <row r="3607" s="238" customFormat="1" ht="14.25" x14ac:dyDescent="0.2"/>
    <row r="3608" s="238" customFormat="1" ht="14.25" x14ac:dyDescent="0.2"/>
    <row r="3609" s="238" customFormat="1" ht="14.25" x14ac:dyDescent="0.2"/>
    <row r="3610" s="238" customFormat="1" ht="14.25" x14ac:dyDescent="0.2"/>
    <row r="3611" s="238" customFormat="1" ht="14.25" x14ac:dyDescent="0.2"/>
    <row r="3612" s="238" customFormat="1" ht="14.25" x14ac:dyDescent="0.2"/>
    <row r="3613" s="238" customFormat="1" ht="14.25" x14ac:dyDescent="0.2"/>
    <row r="3614" s="238" customFormat="1" ht="14.25" x14ac:dyDescent="0.2"/>
    <row r="3615" s="238" customFormat="1" ht="14.25" x14ac:dyDescent="0.2"/>
    <row r="3616" s="238" customFormat="1" ht="14.25" x14ac:dyDescent="0.2"/>
    <row r="3617" s="238" customFormat="1" ht="14.25" x14ac:dyDescent="0.2"/>
    <row r="3618" s="238" customFormat="1" ht="14.25" x14ac:dyDescent="0.2"/>
    <row r="3619" s="238" customFormat="1" ht="14.25" x14ac:dyDescent="0.2"/>
    <row r="3620" s="238" customFormat="1" ht="14.25" x14ac:dyDescent="0.2"/>
    <row r="3621" s="238" customFormat="1" ht="14.25" x14ac:dyDescent="0.2"/>
    <row r="3622" s="238" customFormat="1" ht="14.25" x14ac:dyDescent="0.2"/>
    <row r="3623" s="238" customFormat="1" ht="14.25" x14ac:dyDescent="0.2"/>
    <row r="3624" s="238" customFormat="1" ht="14.25" x14ac:dyDescent="0.2"/>
    <row r="3625" s="238" customFormat="1" ht="14.25" x14ac:dyDescent="0.2"/>
    <row r="3626" s="238" customFormat="1" ht="14.25" x14ac:dyDescent="0.2"/>
    <row r="3627" s="238" customFormat="1" ht="14.25" x14ac:dyDescent="0.2"/>
    <row r="3628" s="238" customFormat="1" ht="14.25" x14ac:dyDescent="0.2"/>
    <row r="3629" s="238" customFormat="1" ht="14.25" x14ac:dyDescent="0.2"/>
    <row r="3630" s="238" customFormat="1" ht="14.25" x14ac:dyDescent="0.2"/>
    <row r="3631" s="238" customFormat="1" ht="14.25" x14ac:dyDescent="0.2"/>
    <row r="3632" s="238" customFormat="1" ht="14.25" x14ac:dyDescent="0.2"/>
    <row r="3633" s="238" customFormat="1" ht="14.25" x14ac:dyDescent="0.2"/>
    <row r="3634" s="238" customFormat="1" ht="14.25" x14ac:dyDescent="0.2"/>
    <row r="3635" s="238" customFormat="1" ht="14.25" x14ac:dyDescent="0.2"/>
    <row r="3636" s="238" customFormat="1" ht="14.25" x14ac:dyDescent="0.2"/>
    <row r="3637" s="238" customFormat="1" ht="14.25" x14ac:dyDescent="0.2"/>
    <row r="3638" s="238" customFormat="1" ht="14.25" x14ac:dyDescent="0.2"/>
    <row r="3639" s="238" customFormat="1" ht="14.25" x14ac:dyDescent="0.2"/>
    <row r="3640" s="238" customFormat="1" ht="14.25" x14ac:dyDescent="0.2"/>
    <row r="3641" s="238" customFormat="1" ht="14.25" x14ac:dyDescent="0.2"/>
    <row r="3642" s="238" customFormat="1" ht="14.25" x14ac:dyDescent="0.2"/>
    <row r="3643" s="238" customFormat="1" ht="14.25" x14ac:dyDescent="0.2"/>
    <row r="3644" s="238" customFormat="1" ht="14.25" x14ac:dyDescent="0.2"/>
    <row r="3645" s="238" customFormat="1" ht="14.25" x14ac:dyDescent="0.2"/>
    <row r="3646" s="238" customFormat="1" ht="14.25" x14ac:dyDescent="0.2"/>
    <row r="3647" s="238" customFormat="1" ht="14.25" x14ac:dyDescent="0.2"/>
    <row r="3648" s="238" customFormat="1" ht="14.25" x14ac:dyDescent="0.2"/>
    <row r="3649" s="238" customFormat="1" ht="14.25" x14ac:dyDescent="0.2"/>
    <row r="3650" s="238" customFormat="1" ht="14.25" x14ac:dyDescent="0.2"/>
    <row r="3651" s="238" customFormat="1" ht="14.25" x14ac:dyDescent="0.2"/>
    <row r="3652" s="238" customFormat="1" ht="14.25" x14ac:dyDescent="0.2"/>
    <row r="3653" s="238" customFormat="1" ht="14.25" x14ac:dyDescent="0.2"/>
    <row r="3654" s="238" customFormat="1" ht="14.25" x14ac:dyDescent="0.2"/>
    <row r="3655" s="238" customFormat="1" ht="14.25" x14ac:dyDescent="0.2"/>
    <row r="3656" s="238" customFormat="1" ht="14.25" x14ac:dyDescent="0.2"/>
    <row r="3657" s="238" customFormat="1" ht="14.25" x14ac:dyDescent="0.2"/>
    <row r="3658" s="238" customFormat="1" ht="14.25" x14ac:dyDescent="0.2"/>
    <row r="3659" s="238" customFormat="1" ht="14.25" x14ac:dyDescent="0.2"/>
    <row r="3660" s="238" customFormat="1" ht="14.25" x14ac:dyDescent="0.2"/>
    <row r="3661" s="238" customFormat="1" ht="14.25" x14ac:dyDescent="0.2"/>
    <row r="3662" s="238" customFormat="1" ht="14.25" x14ac:dyDescent="0.2"/>
    <row r="3663" s="238" customFormat="1" ht="14.25" x14ac:dyDescent="0.2"/>
    <row r="3664" s="238" customFormat="1" ht="14.25" x14ac:dyDescent="0.2"/>
    <row r="3665" s="238" customFormat="1" ht="14.25" x14ac:dyDescent="0.2"/>
    <row r="3666" s="238" customFormat="1" ht="14.25" x14ac:dyDescent="0.2"/>
    <row r="3667" s="238" customFormat="1" ht="14.25" x14ac:dyDescent="0.2"/>
    <row r="3668" s="238" customFormat="1" ht="14.25" x14ac:dyDescent="0.2"/>
    <row r="3669" s="238" customFormat="1" ht="14.25" x14ac:dyDescent="0.2"/>
    <row r="3670" s="238" customFormat="1" ht="14.25" x14ac:dyDescent="0.2"/>
    <row r="3671" s="238" customFormat="1" ht="14.25" x14ac:dyDescent="0.2"/>
    <row r="3672" s="238" customFormat="1" ht="14.25" x14ac:dyDescent="0.2"/>
    <row r="3673" s="238" customFormat="1" ht="14.25" x14ac:dyDescent="0.2"/>
    <row r="3674" s="238" customFormat="1" ht="14.25" x14ac:dyDescent="0.2"/>
    <row r="3675" s="238" customFormat="1" ht="14.25" x14ac:dyDescent="0.2"/>
    <row r="3676" s="238" customFormat="1" ht="14.25" x14ac:dyDescent="0.2"/>
    <row r="3677" s="238" customFormat="1" ht="14.25" x14ac:dyDescent="0.2"/>
    <row r="3678" s="238" customFormat="1" ht="14.25" x14ac:dyDescent="0.2"/>
    <row r="3679" s="238" customFormat="1" ht="14.25" x14ac:dyDescent="0.2"/>
    <row r="3680" s="238" customFormat="1" ht="14.25" x14ac:dyDescent="0.2"/>
    <row r="3681" s="238" customFormat="1" ht="14.25" x14ac:dyDescent="0.2"/>
    <row r="3682" s="238" customFormat="1" ht="14.25" x14ac:dyDescent="0.2"/>
    <row r="3683" s="238" customFormat="1" ht="14.25" x14ac:dyDescent="0.2"/>
    <row r="3684" s="238" customFormat="1" ht="14.25" x14ac:dyDescent="0.2"/>
    <row r="3685" s="238" customFormat="1" ht="14.25" x14ac:dyDescent="0.2"/>
    <row r="3686" s="238" customFormat="1" ht="14.25" x14ac:dyDescent="0.2"/>
    <row r="3687" s="238" customFormat="1" ht="14.25" x14ac:dyDescent="0.2"/>
    <row r="3688" s="238" customFormat="1" ht="14.25" x14ac:dyDescent="0.2"/>
    <row r="3689" s="238" customFormat="1" ht="14.25" x14ac:dyDescent="0.2"/>
    <row r="3690" s="238" customFormat="1" ht="14.25" x14ac:dyDescent="0.2"/>
    <row r="3691" s="238" customFormat="1" ht="14.25" x14ac:dyDescent="0.2"/>
    <row r="3692" s="238" customFormat="1" ht="14.25" x14ac:dyDescent="0.2"/>
    <row r="3693" s="238" customFormat="1" ht="14.25" x14ac:dyDescent="0.2"/>
    <row r="3694" s="238" customFormat="1" ht="14.25" x14ac:dyDescent="0.2"/>
    <row r="3695" s="238" customFormat="1" ht="14.25" x14ac:dyDescent="0.2"/>
    <row r="3696" s="238" customFormat="1" ht="14.25" x14ac:dyDescent="0.2"/>
    <row r="3697" s="238" customFormat="1" ht="14.25" x14ac:dyDescent="0.2"/>
    <row r="3698" s="238" customFormat="1" ht="14.25" x14ac:dyDescent="0.2"/>
    <row r="3699" s="238" customFormat="1" ht="14.25" x14ac:dyDescent="0.2"/>
    <row r="3700" s="238" customFormat="1" ht="14.25" x14ac:dyDescent="0.2"/>
    <row r="3701" s="238" customFormat="1" ht="14.25" x14ac:dyDescent="0.2"/>
    <row r="3702" s="238" customFormat="1" ht="14.25" x14ac:dyDescent="0.2"/>
    <row r="3703" s="238" customFormat="1" ht="14.25" x14ac:dyDescent="0.2"/>
    <row r="3704" s="238" customFormat="1" ht="14.25" x14ac:dyDescent="0.2"/>
    <row r="3705" s="238" customFormat="1" ht="14.25" x14ac:dyDescent="0.2"/>
    <row r="3706" s="238" customFormat="1" ht="14.25" x14ac:dyDescent="0.2"/>
    <row r="3707" s="238" customFormat="1" ht="14.25" x14ac:dyDescent="0.2"/>
    <row r="3708" s="238" customFormat="1" ht="14.25" x14ac:dyDescent="0.2"/>
    <row r="3709" s="238" customFormat="1" ht="14.25" x14ac:dyDescent="0.2"/>
    <row r="3710" s="238" customFormat="1" ht="14.25" x14ac:dyDescent="0.2"/>
    <row r="3711" s="238" customFormat="1" ht="14.25" x14ac:dyDescent="0.2"/>
    <row r="3712" s="238" customFormat="1" ht="14.25" x14ac:dyDescent="0.2"/>
    <row r="3713" s="238" customFormat="1" ht="14.25" x14ac:dyDescent="0.2"/>
    <row r="3714" s="238" customFormat="1" ht="14.25" x14ac:dyDescent="0.2"/>
    <row r="3715" s="238" customFormat="1" ht="14.25" x14ac:dyDescent="0.2"/>
    <row r="3716" s="238" customFormat="1" ht="14.25" x14ac:dyDescent="0.2"/>
    <row r="3717" s="238" customFormat="1" ht="14.25" x14ac:dyDescent="0.2"/>
    <row r="3718" s="238" customFormat="1" ht="14.25" x14ac:dyDescent="0.2"/>
    <row r="3719" s="238" customFormat="1" ht="14.25" x14ac:dyDescent="0.2"/>
    <row r="3720" s="238" customFormat="1" ht="14.25" x14ac:dyDescent="0.2"/>
    <row r="3721" s="238" customFormat="1" ht="14.25" x14ac:dyDescent="0.2"/>
    <row r="3722" s="238" customFormat="1" ht="14.25" x14ac:dyDescent="0.2"/>
    <row r="3723" s="238" customFormat="1" ht="14.25" x14ac:dyDescent="0.2"/>
    <row r="3724" s="238" customFormat="1" ht="14.25" x14ac:dyDescent="0.2"/>
    <row r="3725" s="238" customFormat="1" ht="14.25" x14ac:dyDescent="0.2"/>
    <row r="3726" s="238" customFormat="1" ht="14.25" x14ac:dyDescent="0.2"/>
    <row r="3727" s="238" customFormat="1" ht="14.25" x14ac:dyDescent="0.2"/>
    <row r="3728" s="238" customFormat="1" ht="14.25" x14ac:dyDescent="0.2"/>
    <row r="3729" s="238" customFormat="1" ht="14.25" x14ac:dyDescent="0.2"/>
    <row r="3730" s="238" customFormat="1" ht="14.25" x14ac:dyDescent="0.2"/>
    <row r="3731" s="238" customFormat="1" ht="14.25" x14ac:dyDescent="0.2"/>
    <row r="3732" s="238" customFormat="1" ht="14.25" x14ac:dyDescent="0.2"/>
    <row r="3733" s="238" customFormat="1" ht="14.25" x14ac:dyDescent="0.2"/>
    <row r="3734" s="238" customFormat="1" ht="14.25" x14ac:dyDescent="0.2"/>
    <row r="3735" s="238" customFormat="1" ht="14.25" x14ac:dyDescent="0.2"/>
    <row r="3736" s="238" customFormat="1" ht="14.25" x14ac:dyDescent="0.2"/>
    <row r="3737" s="238" customFormat="1" ht="14.25" x14ac:dyDescent="0.2"/>
    <row r="3738" s="238" customFormat="1" ht="14.25" x14ac:dyDescent="0.2"/>
    <row r="3739" s="238" customFormat="1" ht="14.25" x14ac:dyDescent="0.2"/>
    <row r="3740" s="238" customFormat="1" ht="14.25" x14ac:dyDescent="0.2"/>
    <row r="3741" s="238" customFormat="1" ht="14.25" x14ac:dyDescent="0.2"/>
    <row r="3742" s="238" customFormat="1" ht="14.25" x14ac:dyDescent="0.2"/>
    <row r="3743" s="238" customFormat="1" ht="14.25" x14ac:dyDescent="0.2"/>
    <row r="3744" s="238" customFormat="1" ht="14.25" x14ac:dyDescent="0.2"/>
    <row r="3745" s="238" customFormat="1" ht="14.25" x14ac:dyDescent="0.2"/>
    <row r="3746" s="238" customFormat="1" ht="14.25" x14ac:dyDescent="0.2"/>
    <row r="3747" s="238" customFormat="1" ht="14.25" x14ac:dyDescent="0.2"/>
    <row r="3748" s="238" customFormat="1" ht="14.25" x14ac:dyDescent="0.2"/>
    <row r="3749" s="238" customFormat="1" ht="14.25" x14ac:dyDescent="0.2"/>
    <row r="3750" s="238" customFormat="1" ht="14.25" x14ac:dyDescent="0.2"/>
    <row r="3751" s="238" customFormat="1" ht="14.25" x14ac:dyDescent="0.2"/>
    <row r="3752" s="238" customFormat="1" ht="14.25" x14ac:dyDescent="0.2"/>
    <row r="3753" s="238" customFormat="1" ht="14.25" x14ac:dyDescent="0.2"/>
    <row r="3754" s="238" customFormat="1" ht="14.25" x14ac:dyDescent="0.2"/>
    <row r="3755" s="238" customFormat="1" ht="14.25" x14ac:dyDescent="0.2"/>
    <row r="3756" s="238" customFormat="1" ht="14.25" x14ac:dyDescent="0.2"/>
    <row r="3757" s="238" customFormat="1" ht="14.25" x14ac:dyDescent="0.2"/>
    <row r="3758" s="238" customFormat="1" ht="14.25" x14ac:dyDescent="0.2"/>
    <row r="3759" s="238" customFormat="1" ht="14.25" x14ac:dyDescent="0.2"/>
    <row r="3760" s="238" customFormat="1" ht="14.25" x14ac:dyDescent="0.2"/>
    <row r="3761" s="238" customFormat="1" ht="14.25" x14ac:dyDescent="0.2"/>
    <row r="3762" s="238" customFormat="1" ht="14.25" x14ac:dyDescent="0.2"/>
    <row r="3763" s="238" customFormat="1" ht="14.25" x14ac:dyDescent="0.2"/>
    <row r="3764" s="238" customFormat="1" ht="14.25" x14ac:dyDescent="0.2"/>
    <row r="3765" s="238" customFormat="1" ht="14.25" x14ac:dyDescent="0.2"/>
    <row r="3766" s="238" customFormat="1" ht="14.25" x14ac:dyDescent="0.2"/>
    <row r="3767" s="238" customFormat="1" ht="14.25" x14ac:dyDescent="0.2"/>
    <row r="3768" s="238" customFormat="1" ht="14.25" x14ac:dyDescent="0.2"/>
    <row r="3769" s="238" customFormat="1" ht="14.25" x14ac:dyDescent="0.2"/>
    <row r="3770" s="238" customFormat="1" ht="14.25" x14ac:dyDescent="0.2"/>
    <row r="3771" s="238" customFormat="1" ht="14.25" x14ac:dyDescent="0.2"/>
    <row r="3772" s="238" customFormat="1" ht="14.25" x14ac:dyDescent="0.2"/>
    <row r="3773" s="238" customFormat="1" ht="14.25" x14ac:dyDescent="0.2"/>
    <row r="3774" s="238" customFormat="1" ht="14.25" x14ac:dyDescent="0.2"/>
    <row r="3775" s="238" customFormat="1" ht="14.25" x14ac:dyDescent="0.2"/>
    <row r="3776" s="238" customFormat="1" ht="14.25" x14ac:dyDescent="0.2"/>
    <row r="3777" s="238" customFormat="1" ht="14.25" x14ac:dyDescent="0.2"/>
    <row r="3778" s="238" customFormat="1" ht="14.25" x14ac:dyDescent="0.2"/>
    <row r="3779" s="238" customFormat="1" ht="14.25" x14ac:dyDescent="0.2"/>
    <row r="3780" s="238" customFormat="1" ht="14.25" x14ac:dyDescent="0.2"/>
    <row r="3781" s="238" customFormat="1" ht="14.25" x14ac:dyDescent="0.2"/>
    <row r="3782" s="238" customFormat="1" ht="14.25" x14ac:dyDescent="0.2"/>
    <row r="3783" s="238" customFormat="1" ht="14.25" x14ac:dyDescent="0.2"/>
    <row r="3784" s="238" customFormat="1" ht="14.25" x14ac:dyDescent="0.2"/>
    <row r="3785" s="238" customFormat="1" ht="14.25" x14ac:dyDescent="0.2"/>
    <row r="3786" s="238" customFormat="1" ht="14.25" x14ac:dyDescent="0.2"/>
    <row r="3787" s="238" customFormat="1" ht="14.25" x14ac:dyDescent="0.2"/>
    <row r="3788" s="238" customFormat="1" ht="14.25" x14ac:dyDescent="0.2"/>
    <row r="3789" s="238" customFormat="1" ht="14.25" x14ac:dyDescent="0.2"/>
    <row r="3790" s="238" customFormat="1" ht="14.25" x14ac:dyDescent="0.2"/>
    <row r="3791" s="238" customFormat="1" ht="14.25" x14ac:dyDescent="0.2"/>
    <row r="3792" s="238" customFormat="1" ht="14.25" x14ac:dyDescent="0.2"/>
    <row r="3793" s="238" customFormat="1" ht="14.25" x14ac:dyDescent="0.2"/>
    <row r="3794" s="238" customFormat="1" ht="14.25" x14ac:dyDescent="0.2"/>
    <row r="3795" s="238" customFormat="1" ht="14.25" x14ac:dyDescent="0.2"/>
    <row r="3796" s="238" customFormat="1" ht="14.25" x14ac:dyDescent="0.2"/>
    <row r="3797" s="238" customFormat="1" ht="14.25" x14ac:dyDescent="0.2"/>
    <row r="3798" s="238" customFormat="1" ht="14.25" x14ac:dyDescent="0.2"/>
    <row r="3799" s="238" customFormat="1" ht="14.25" x14ac:dyDescent="0.2"/>
    <row r="3800" s="238" customFormat="1" ht="14.25" x14ac:dyDescent="0.2"/>
    <row r="3801" s="238" customFormat="1" ht="14.25" x14ac:dyDescent="0.2"/>
    <row r="3802" s="238" customFormat="1" ht="14.25" x14ac:dyDescent="0.2"/>
    <row r="3803" s="238" customFormat="1" ht="14.25" x14ac:dyDescent="0.2"/>
    <row r="3804" s="238" customFormat="1" ht="14.25" x14ac:dyDescent="0.2"/>
    <row r="3805" s="238" customFormat="1" ht="14.25" x14ac:dyDescent="0.2"/>
    <row r="3806" s="238" customFormat="1" ht="14.25" x14ac:dyDescent="0.2"/>
    <row r="3807" s="238" customFormat="1" ht="14.25" x14ac:dyDescent="0.2"/>
    <row r="3808" s="238" customFormat="1" ht="14.25" x14ac:dyDescent="0.2"/>
    <row r="3809" s="238" customFormat="1" ht="14.25" x14ac:dyDescent="0.2"/>
    <row r="3810" s="238" customFormat="1" ht="14.25" x14ac:dyDescent="0.2"/>
    <row r="3811" s="238" customFormat="1" ht="14.25" x14ac:dyDescent="0.2"/>
    <row r="3812" s="238" customFormat="1" ht="14.25" x14ac:dyDescent="0.2"/>
    <row r="3813" s="238" customFormat="1" ht="14.25" x14ac:dyDescent="0.2"/>
    <row r="3814" s="238" customFormat="1" ht="14.25" x14ac:dyDescent="0.2"/>
    <row r="3815" s="238" customFormat="1" ht="14.25" x14ac:dyDescent="0.2"/>
    <row r="3816" s="238" customFormat="1" ht="14.25" x14ac:dyDescent="0.2"/>
    <row r="3817" s="238" customFormat="1" ht="14.25" x14ac:dyDescent="0.2"/>
    <row r="3818" s="238" customFormat="1" ht="14.25" x14ac:dyDescent="0.2"/>
    <row r="3819" s="238" customFormat="1" ht="14.25" x14ac:dyDescent="0.2"/>
    <row r="3820" s="238" customFormat="1" ht="14.25" x14ac:dyDescent="0.2"/>
    <row r="3821" s="238" customFormat="1" ht="14.25" x14ac:dyDescent="0.2"/>
    <row r="3822" s="238" customFormat="1" ht="14.25" x14ac:dyDescent="0.2"/>
    <row r="3823" s="238" customFormat="1" ht="14.25" x14ac:dyDescent="0.2"/>
    <row r="3824" s="238" customFormat="1" ht="14.25" x14ac:dyDescent="0.2"/>
    <row r="3825" s="238" customFormat="1" ht="14.25" x14ac:dyDescent="0.2"/>
    <row r="3826" s="238" customFormat="1" ht="14.25" x14ac:dyDescent="0.2"/>
    <row r="3827" s="238" customFormat="1" ht="14.25" x14ac:dyDescent="0.2"/>
    <row r="3828" s="238" customFormat="1" ht="14.25" x14ac:dyDescent="0.2"/>
    <row r="3829" s="238" customFormat="1" ht="14.25" x14ac:dyDescent="0.2"/>
    <row r="3830" s="238" customFormat="1" ht="14.25" x14ac:dyDescent="0.2"/>
    <row r="3831" s="238" customFormat="1" ht="14.25" x14ac:dyDescent="0.2"/>
    <row r="3832" s="238" customFormat="1" ht="14.25" x14ac:dyDescent="0.2"/>
    <row r="3833" s="238" customFormat="1" ht="14.25" x14ac:dyDescent="0.2"/>
    <row r="3834" s="238" customFormat="1" ht="14.25" x14ac:dyDescent="0.2"/>
    <row r="3835" s="238" customFormat="1" ht="14.25" x14ac:dyDescent="0.2"/>
    <row r="3836" s="238" customFormat="1" ht="14.25" x14ac:dyDescent="0.2"/>
    <row r="3837" s="238" customFormat="1" ht="14.25" x14ac:dyDescent="0.2"/>
    <row r="3838" s="238" customFormat="1" ht="14.25" x14ac:dyDescent="0.2"/>
    <row r="3839" s="238" customFormat="1" ht="14.25" x14ac:dyDescent="0.2"/>
    <row r="3840" s="238" customFormat="1" ht="14.25" x14ac:dyDescent="0.2"/>
    <row r="3841" s="238" customFormat="1" ht="14.25" x14ac:dyDescent="0.2"/>
    <row r="3842" s="238" customFormat="1" ht="14.25" x14ac:dyDescent="0.2"/>
    <row r="3843" s="238" customFormat="1" ht="14.25" x14ac:dyDescent="0.2"/>
    <row r="3844" s="238" customFormat="1" ht="14.25" x14ac:dyDescent="0.2"/>
    <row r="3845" s="238" customFormat="1" ht="14.25" x14ac:dyDescent="0.2"/>
    <row r="3846" s="238" customFormat="1" ht="14.25" x14ac:dyDescent="0.2"/>
    <row r="3847" s="238" customFormat="1" ht="14.25" x14ac:dyDescent="0.2"/>
    <row r="3848" s="238" customFormat="1" ht="14.25" x14ac:dyDescent="0.2"/>
    <row r="3849" s="238" customFormat="1" ht="14.25" x14ac:dyDescent="0.2"/>
    <row r="3850" s="238" customFormat="1" ht="14.25" x14ac:dyDescent="0.2"/>
    <row r="3851" s="238" customFormat="1" ht="14.25" x14ac:dyDescent="0.2"/>
    <row r="3852" s="238" customFormat="1" ht="14.25" x14ac:dyDescent="0.2"/>
    <row r="3853" s="238" customFormat="1" ht="14.25" x14ac:dyDescent="0.2"/>
    <row r="3854" s="238" customFormat="1" ht="14.25" x14ac:dyDescent="0.2"/>
    <row r="3855" s="238" customFormat="1" ht="14.25" x14ac:dyDescent="0.2"/>
    <row r="3856" s="238" customFormat="1" ht="14.25" x14ac:dyDescent="0.2"/>
    <row r="3857" s="238" customFormat="1" ht="14.25" x14ac:dyDescent="0.2"/>
    <row r="3858" s="238" customFormat="1" ht="14.25" x14ac:dyDescent="0.2"/>
    <row r="3859" s="238" customFormat="1" ht="14.25" x14ac:dyDescent="0.2"/>
    <row r="3860" s="238" customFormat="1" ht="14.25" x14ac:dyDescent="0.2"/>
    <row r="3861" s="238" customFormat="1" ht="14.25" x14ac:dyDescent="0.2"/>
    <row r="3862" s="238" customFormat="1" ht="14.25" x14ac:dyDescent="0.2"/>
    <row r="3863" s="238" customFormat="1" ht="14.25" x14ac:dyDescent="0.2"/>
    <row r="3864" s="238" customFormat="1" ht="14.25" x14ac:dyDescent="0.2"/>
    <row r="3865" s="238" customFormat="1" ht="14.25" x14ac:dyDescent="0.2"/>
    <row r="3866" s="238" customFormat="1" ht="14.25" x14ac:dyDescent="0.2"/>
    <row r="3867" s="238" customFormat="1" ht="14.25" x14ac:dyDescent="0.2"/>
    <row r="3868" s="238" customFormat="1" ht="14.25" x14ac:dyDescent="0.2"/>
    <row r="3869" s="238" customFormat="1" ht="14.25" x14ac:dyDescent="0.2"/>
    <row r="3870" s="238" customFormat="1" ht="14.25" x14ac:dyDescent="0.2"/>
    <row r="3871" s="238" customFormat="1" ht="14.25" x14ac:dyDescent="0.2"/>
    <row r="3872" s="238" customFormat="1" ht="14.25" x14ac:dyDescent="0.2"/>
    <row r="3873" s="238" customFormat="1" ht="14.25" x14ac:dyDescent="0.2"/>
    <row r="3874" s="238" customFormat="1" ht="14.25" x14ac:dyDescent="0.2"/>
    <row r="3875" s="238" customFormat="1" ht="14.25" x14ac:dyDescent="0.2"/>
    <row r="3876" s="238" customFormat="1" ht="14.25" x14ac:dyDescent="0.2"/>
    <row r="3877" s="238" customFormat="1" ht="14.25" x14ac:dyDescent="0.2"/>
    <row r="3878" s="238" customFormat="1" ht="14.25" x14ac:dyDescent="0.2"/>
    <row r="3879" s="238" customFormat="1" ht="14.25" x14ac:dyDescent="0.2"/>
    <row r="3880" s="238" customFormat="1" ht="14.25" x14ac:dyDescent="0.2"/>
    <row r="3881" s="238" customFormat="1" ht="14.25" x14ac:dyDescent="0.2"/>
    <row r="3882" s="238" customFormat="1" ht="14.25" x14ac:dyDescent="0.2"/>
    <row r="3883" s="238" customFormat="1" ht="14.25" x14ac:dyDescent="0.2"/>
    <row r="3884" s="238" customFormat="1" ht="14.25" x14ac:dyDescent="0.2"/>
    <row r="3885" s="238" customFormat="1" ht="14.25" x14ac:dyDescent="0.2"/>
    <row r="3886" s="238" customFormat="1" ht="14.25" x14ac:dyDescent="0.2"/>
    <row r="3887" s="238" customFormat="1" ht="14.25" x14ac:dyDescent="0.2"/>
    <row r="3888" s="238" customFormat="1" ht="14.25" x14ac:dyDescent="0.2"/>
    <row r="3889" s="238" customFormat="1" ht="14.25" x14ac:dyDescent="0.2"/>
    <row r="3890" s="238" customFormat="1" ht="14.25" x14ac:dyDescent="0.2"/>
    <row r="3891" s="238" customFormat="1" ht="14.25" x14ac:dyDescent="0.2"/>
    <row r="3892" s="238" customFormat="1" ht="14.25" x14ac:dyDescent="0.2"/>
    <row r="3893" s="238" customFormat="1" ht="14.25" x14ac:dyDescent="0.2"/>
    <row r="3894" s="238" customFormat="1" ht="14.25" x14ac:dyDescent="0.2"/>
    <row r="3895" s="238" customFormat="1" ht="14.25" x14ac:dyDescent="0.2"/>
    <row r="3896" s="238" customFormat="1" ht="14.25" x14ac:dyDescent="0.2"/>
    <row r="3897" s="238" customFormat="1" ht="14.25" x14ac:dyDescent="0.2"/>
    <row r="3898" s="238" customFormat="1" ht="14.25" x14ac:dyDescent="0.2"/>
    <row r="3899" s="238" customFormat="1" ht="14.25" x14ac:dyDescent="0.2"/>
    <row r="3900" s="238" customFormat="1" ht="14.25" x14ac:dyDescent="0.2"/>
    <row r="3901" s="238" customFormat="1" ht="14.25" x14ac:dyDescent="0.2"/>
    <row r="3902" s="238" customFormat="1" ht="14.25" x14ac:dyDescent="0.2"/>
    <row r="3903" s="238" customFormat="1" ht="14.25" x14ac:dyDescent="0.2"/>
    <row r="3904" s="238" customFormat="1" ht="14.25" x14ac:dyDescent="0.2"/>
    <row r="3905" s="238" customFormat="1" ht="14.25" x14ac:dyDescent="0.2"/>
    <row r="3906" s="238" customFormat="1" ht="14.25" x14ac:dyDescent="0.2"/>
    <row r="3907" s="238" customFormat="1" ht="14.25" x14ac:dyDescent="0.2"/>
    <row r="3908" s="238" customFormat="1" ht="14.25" x14ac:dyDescent="0.2"/>
    <row r="3909" s="238" customFormat="1" ht="14.25" x14ac:dyDescent="0.2"/>
    <row r="3910" s="238" customFormat="1" ht="14.25" x14ac:dyDescent="0.2"/>
    <row r="3911" s="238" customFormat="1" ht="14.25" x14ac:dyDescent="0.2"/>
    <row r="3912" s="238" customFormat="1" ht="14.25" x14ac:dyDescent="0.2"/>
    <row r="3913" s="238" customFormat="1" ht="14.25" x14ac:dyDescent="0.2"/>
    <row r="3914" s="238" customFormat="1" ht="14.25" x14ac:dyDescent="0.2"/>
    <row r="3915" s="238" customFormat="1" ht="14.25" x14ac:dyDescent="0.2"/>
    <row r="3916" s="238" customFormat="1" ht="14.25" x14ac:dyDescent="0.2"/>
    <row r="3917" s="238" customFormat="1" ht="14.25" x14ac:dyDescent="0.2"/>
    <row r="3918" s="238" customFormat="1" ht="14.25" x14ac:dyDescent="0.2"/>
    <row r="3919" s="238" customFormat="1" ht="14.25" x14ac:dyDescent="0.2"/>
    <row r="3920" s="238" customFormat="1" ht="14.25" x14ac:dyDescent="0.2"/>
    <row r="3921" s="238" customFormat="1" ht="14.25" x14ac:dyDescent="0.2"/>
    <row r="3922" s="238" customFormat="1" ht="14.25" x14ac:dyDescent="0.2"/>
    <row r="3923" s="238" customFormat="1" ht="14.25" x14ac:dyDescent="0.2"/>
    <row r="3924" s="238" customFormat="1" ht="14.25" x14ac:dyDescent="0.2"/>
    <row r="3925" s="238" customFormat="1" ht="14.25" x14ac:dyDescent="0.2"/>
    <row r="3926" s="238" customFormat="1" ht="14.25" x14ac:dyDescent="0.2"/>
    <row r="3927" s="238" customFormat="1" ht="14.25" x14ac:dyDescent="0.2"/>
    <row r="3928" s="238" customFormat="1" ht="14.25" x14ac:dyDescent="0.2"/>
    <row r="3929" s="238" customFormat="1" ht="14.25" x14ac:dyDescent="0.2"/>
    <row r="3930" s="238" customFormat="1" ht="14.25" x14ac:dyDescent="0.2"/>
    <row r="3931" s="238" customFormat="1" ht="14.25" x14ac:dyDescent="0.2"/>
    <row r="3932" s="238" customFormat="1" ht="14.25" x14ac:dyDescent="0.2"/>
    <row r="3933" s="238" customFormat="1" ht="14.25" x14ac:dyDescent="0.2"/>
    <row r="3934" s="238" customFormat="1" ht="14.25" x14ac:dyDescent="0.2"/>
    <row r="3935" s="238" customFormat="1" ht="14.25" x14ac:dyDescent="0.2"/>
    <row r="3936" s="238" customFormat="1" ht="14.25" x14ac:dyDescent="0.2"/>
    <row r="3937" s="238" customFormat="1" ht="14.25" x14ac:dyDescent="0.2"/>
    <row r="3938" s="238" customFormat="1" ht="14.25" x14ac:dyDescent="0.2"/>
    <row r="3939" s="238" customFormat="1" ht="14.25" x14ac:dyDescent="0.2"/>
    <row r="3940" s="238" customFormat="1" ht="14.25" x14ac:dyDescent="0.2"/>
    <row r="3941" s="238" customFormat="1" ht="14.25" x14ac:dyDescent="0.2"/>
    <row r="3942" s="238" customFormat="1" ht="14.25" x14ac:dyDescent="0.2"/>
    <row r="3943" s="238" customFormat="1" ht="14.25" x14ac:dyDescent="0.2"/>
    <row r="3944" s="238" customFormat="1" ht="14.25" x14ac:dyDescent="0.2"/>
    <row r="3945" s="238" customFormat="1" ht="14.25" x14ac:dyDescent="0.2"/>
    <row r="3946" s="238" customFormat="1" ht="14.25" x14ac:dyDescent="0.2"/>
    <row r="3947" s="238" customFormat="1" ht="14.25" x14ac:dyDescent="0.2"/>
    <row r="3948" s="238" customFormat="1" ht="14.25" x14ac:dyDescent="0.2"/>
    <row r="3949" s="238" customFormat="1" ht="14.25" x14ac:dyDescent="0.2"/>
    <row r="3950" s="238" customFormat="1" ht="14.25" x14ac:dyDescent="0.2"/>
    <row r="3951" s="238" customFormat="1" ht="14.25" x14ac:dyDescent="0.2"/>
    <row r="3952" s="238" customFormat="1" ht="14.25" x14ac:dyDescent="0.2"/>
    <row r="3953" s="238" customFormat="1" ht="14.25" x14ac:dyDescent="0.2"/>
    <row r="3954" s="238" customFormat="1" ht="14.25" x14ac:dyDescent="0.2"/>
    <row r="3955" s="238" customFormat="1" ht="14.25" x14ac:dyDescent="0.2"/>
    <row r="3956" s="238" customFormat="1" ht="14.25" x14ac:dyDescent="0.2"/>
    <row r="3957" s="238" customFormat="1" ht="14.25" x14ac:dyDescent="0.2"/>
    <row r="3958" s="238" customFormat="1" ht="14.25" x14ac:dyDescent="0.2"/>
    <row r="3959" s="238" customFormat="1" ht="14.25" x14ac:dyDescent="0.2"/>
    <row r="3960" s="238" customFormat="1" ht="14.25" x14ac:dyDescent="0.2"/>
    <row r="3961" s="238" customFormat="1" ht="14.25" x14ac:dyDescent="0.2"/>
    <row r="3962" s="238" customFormat="1" ht="14.25" x14ac:dyDescent="0.2"/>
    <row r="3963" s="238" customFormat="1" ht="14.25" x14ac:dyDescent="0.2"/>
    <row r="3964" s="238" customFormat="1" ht="14.25" x14ac:dyDescent="0.2"/>
    <row r="3965" s="238" customFormat="1" ht="14.25" x14ac:dyDescent="0.2"/>
    <row r="3966" s="238" customFormat="1" ht="14.25" x14ac:dyDescent="0.2"/>
    <row r="3967" s="238" customFormat="1" ht="14.25" x14ac:dyDescent="0.2"/>
    <row r="3968" s="238" customFormat="1" ht="14.25" x14ac:dyDescent="0.2"/>
    <row r="3969" s="238" customFormat="1" ht="14.25" x14ac:dyDescent="0.2"/>
    <row r="3970" s="238" customFormat="1" ht="14.25" x14ac:dyDescent="0.2"/>
    <row r="3971" s="238" customFormat="1" ht="14.25" x14ac:dyDescent="0.2"/>
    <row r="3972" s="238" customFormat="1" ht="14.25" x14ac:dyDescent="0.2"/>
    <row r="3973" s="238" customFormat="1" ht="14.25" x14ac:dyDescent="0.2"/>
    <row r="3974" s="238" customFormat="1" ht="14.25" x14ac:dyDescent="0.2"/>
    <row r="3975" s="238" customFormat="1" ht="14.25" x14ac:dyDescent="0.2"/>
    <row r="3976" s="238" customFormat="1" ht="14.25" x14ac:dyDescent="0.2"/>
    <row r="3977" s="238" customFormat="1" ht="14.25" x14ac:dyDescent="0.2"/>
    <row r="3978" s="238" customFormat="1" ht="14.25" x14ac:dyDescent="0.2"/>
    <row r="3979" s="238" customFormat="1" ht="14.25" x14ac:dyDescent="0.2"/>
    <row r="3980" s="238" customFormat="1" ht="14.25" x14ac:dyDescent="0.2"/>
    <row r="3981" s="238" customFormat="1" ht="14.25" x14ac:dyDescent="0.2"/>
    <row r="3982" s="238" customFormat="1" ht="14.25" x14ac:dyDescent="0.2"/>
    <row r="3983" s="238" customFormat="1" ht="14.25" x14ac:dyDescent="0.2"/>
    <row r="3984" s="238" customFormat="1" ht="14.25" x14ac:dyDescent="0.2"/>
    <row r="3985" s="238" customFormat="1" ht="14.25" x14ac:dyDescent="0.2"/>
    <row r="3986" s="238" customFormat="1" ht="14.25" x14ac:dyDescent="0.2"/>
    <row r="3987" s="238" customFormat="1" ht="14.25" x14ac:dyDescent="0.2"/>
    <row r="3988" s="238" customFormat="1" ht="14.25" x14ac:dyDescent="0.2"/>
    <row r="3989" s="238" customFormat="1" ht="14.25" x14ac:dyDescent="0.2"/>
    <row r="3990" s="238" customFormat="1" ht="14.25" x14ac:dyDescent="0.2"/>
    <row r="3991" s="238" customFormat="1" ht="14.25" x14ac:dyDescent="0.2"/>
    <row r="3992" s="238" customFormat="1" ht="14.25" x14ac:dyDescent="0.2"/>
    <row r="3993" s="238" customFormat="1" ht="14.25" x14ac:dyDescent="0.2"/>
    <row r="3994" s="238" customFormat="1" ht="14.25" x14ac:dyDescent="0.2"/>
    <row r="3995" s="238" customFormat="1" ht="14.25" x14ac:dyDescent="0.2"/>
    <row r="3996" s="238" customFormat="1" ht="14.25" x14ac:dyDescent="0.2"/>
    <row r="3997" s="238" customFormat="1" ht="14.25" x14ac:dyDescent="0.2"/>
    <row r="3998" s="238" customFormat="1" ht="14.25" x14ac:dyDescent="0.2"/>
    <row r="3999" s="238" customFormat="1" ht="14.25" x14ac:dyDescent="0.2"/>
    <row r="4000" s="238" customFormat="1" ht="14.25" x14ac:dyDescent="0.2"/>
    <row r="4001" s="238" customFormat="1" ht="14.25" x14ac:dyDescent="0.2"/>
    <row r="4002" s="238" customFormat="1" ht="14.25" x14ac:dyDescent="0.2"/>
    <row r="4003" s="238" customFormat="1" ht="14.25" x14ac:dyDescent="0.2"/>
    <row r="4004" s="238" customFormat="1" ht="14.25" x14ac:dyDescent="0.2"/>
    <row r="4005" s="238" customFormat="1" ht="14.25" x14ac:dyDescent="0.2"/>
    <row r="4006" s="238" customFormat="1" ht="14.25" x14ac:dyDescent="0.2"/>
    <row r="4007" s="238" customFormat="1" ht="14.25" x14ac:dyDescent="0.2"/>
    <row r="4008" s="238" customFormat="1" ht="14.25" x14ac:dyDescent="0.2"/>
    <row r="4009" s="238" customFormat="1" ht="14.25" x14ac:dyDescent="0.2"/>
    <row r="4010" s="238" customFormat="1" ht="14.25" x14ac:dyDescent="0.2"/>
    <row r="4011" s="238" customFormat="1" ht="14.25" x14ac:dyDescent="0.2"/>
    <row r="4012" s="238" customFormat="1" ht="14.25" x14ac:dyDescent="0.2"/>
    <row r="4013" s="238" customFormat="1" ht="14.25" x14ac:dyDescent="0.2"/>
    <row r="4014" s="238" customFormat="1" ht="14.25" x14ac:dyDescent="0.2"/>
    <row r="4015" s="238" customFormat="1" ht="14.25" x14ac:dyDescent="0.2"/>
    <row r="4016" s="238" customFormat="1" ht="14.25" x14ac:dyDescent="0.2"/>
    <row r="4017" s="238" customFormat="1" ht="14.25" x14ac:dyDescent="0.2"/>
    <row r="4018" s="238" customFormat="1" ht="14.25" x14ac:dyDescent="0.2"/>
    <row r="4019" s="238" customFormat="1" ht="14.25" x14ac:dyDescent="0.2"/>
    <row r="4020" s="238" customFormat="1" ht="14.25" x14ac:dyDescent="0.2"/>
    <row r="4021" s="238" customFormat="1" ht="14.25" x14ac:dyDescent="0.2"/>
    <row r="4022" s="238" customFormat="1" ht="14.25" x14ac:dyDescent="0.2"/>
    <row r="4023" s="238" customFormat="1" ht="14.25" x14ac:dyDescent="0.2"/>
    <row r="4024" s="238" customFormat="1" ht="14.25" x14ac:dyDescent="0.2"/>
    <row r="4025" s="238" customFormat="1" ht="14.25" x14ac:dyDescent="0.2"/>
    <row r="4026" s="238" customFormat="1" ht="14.25" x14ac:dyDescent="0.2"/>
    <row r="4027" s="238" customFormat="1" ht="14.25" x14ac:dyDescent="0.2"/>
    <row r="4028" s="238" customFormat="1" ht="14.25" x14ac:dyDescent="0.2"/>
    <row r="4029" s="238" customFormat="1" ht="14.25" x14ac:dyDescent="0.2"/>
    <row r="4030" s="238" customFormat="1" ht="14.25" x14ac:dyDescent="0.2"/>
    <row r="4031" s="238" customFormat="1" ht="14.25" x14ac:dyDescent="0.2"/>
    <row r="4032" s="238" customFormat="1" ht="14.25" x14ac:dyDescent="0.2"/>
    <row r="4033" s="238" customFormat="1" ht="14.25" x14ac:dyDescent="0.2"/>
    <row r="4034" s="238" customFormat="1" ht="14.25" x14ac:dyDescent="0.2"/>
    <row r="4035" s="238" customFormat="1" ht="14.25" x14ac:dyDescent="0.2"/>
    <row r="4036" s="238" customFormat="1" ht="14.25" x14ac:dyDescent="0.2"/>
    <row r="4037" s="238" customFormat="1" ht="14.25" x14ac:dyDescent="0.2"/>
    <row r="4038" s="238" customFormat="1" ht="14.25" x14ac:dyDescent="0.2"/>
    <row r="4039" s="238" customFormat="1" ht="14.25" x14ac:dyDescent="0.2"/>
    <row r="4040" s="238" customFormat="1" ht="14.25" x14ac:dyDescent="0.2"/>
    <row r="4041" s="238" customFormat="1" ht="14.25" x14ac:dyDescent="0.2"/>
    <row r="4042" s="238" customFormat="1" ht="14.25" x14ac:dyDescent="0.2"/>
    <row r="4043" s="238" customFormat="1" ht="14.25" x14ac:dyDescent="0.2"/>
    <row r="4044" s="238" customFormat="1" ht="14.25" x14ac:dyDescent="0.2"/>
    <row r="4045" s="238" customFormat="1" ht="14.25" x14ac:dyDescent="0.2"/>
    <row r="4046" s="238" customFormat="1" ht="14.25" x14ac:dyDescent="0.2"/>
    <row r="4047" s="238" customFormat="1" ht="14.25" x14ac:dyDescent="0.2"/>
    <row r="4048" s="238" customFormat="1" ht="14.25" x14ac:dyDescent="0.2"/>
    <row r="4049" s="238" customFormat="1" ht="14.25" x14ac:dyDescent="0.2"/>
    <row r="4050" s="238" customFormat="1" ht="14.25" x14ac:dyDescent="0.2"/>
    <row r="4051" s="238" customFormat="1" ht="14.25" x14ac:dyDescent="0.2"/>
    <row r="4052" s="238" customFormat="1" ht="14.25" x14ac:dyDescent="0.2"/>
    <row r="4053" s="238" customFormat="1" ht="14.25" x14ac:dyDescent="0.2"/>
    <row r="4054" s="238" customFormat="1" ht="14.25" x14ac:dyDescent="0.2"/>
    <row r="4055" s="238" customFormat="1" ht="14.25" x14ac:dyDescent="0.2"/>
    <row r="4056" s="238" customFormat="1" ht="14.25" x14ac:dyDescent="0.2"/>
    <row r="4057" s="238" customFormat="1" ht="14.25" x14ac:dyDescent="0.2"/>
    <row r="4058" s="238" customFormat="1" ht="14.25" x14ac:dyDescent="0.2"/>
    <row r="4059" s="238" customFormat="1" ht="14.25" x14ac:dyDescent="0.2"/>
    <row r="4060" s="238" customFormat="1" ht="14.25" x14ac:dyDescent="0.2"/>
    <row r="4061" s="238" customFormat="1" ht="14.25" x14ac:dyDescent="0.2"/>
    <row r="4062" s="238" customFormat="1" ht="14.25" x14ac:dyDescent="0.2"/>
    <row r="4063" s="238" customFormat="1" ht="14.25" x14ac:dyDescent="0.2"/>
    <row r="4064" s="238" customFormat="1" ht="14.25" x14ac:dyDescent="0.2"/>
    <row r="4065" s="238" customFormat="1" ht="14.25" x14ac:dyDescent="0.2"/>
    <row r="4066" s="238" customFormat="1" ht="14.25" x14ac:dyDescent="0.2"/>
    <row r="4067" s="238" customFormat="1" ht="14.25" x14ac:dyDescent="0.2"/>
    <row r="4068" s="238" customFormat="1" ht="14.25" x14ac:dyDescent="0.2"/>
    <row r="4069" s="238" customFormat="1" ht="14.25" x14ac:dyDescent="0.2"/>
    <row r="4070" s="238" customFormat="1" ht="14.25" x14ac:dyDescent="0.2"/>
    <row r="4071" s="238" customFormat="1" ht="14.25" x14ac:dyDescent="0.2"/>
    <row r="4072" s="238" customFormat="1" ht="14.25" x14ac:dyDescent="0.2"/>
    <row r="4073" s="238" customFormat="1" ht="14.25" x14ac:dyDescent="0.2"/>
    <row r="4074" s="238" customFormat="1" ht="14.25" x14ac:dyDescent="0.2"/>
    <row r="4075" s="238" customFormat="1" ht="14.25" x14ac:dyDescent="0.2"/>
    <row r="4076" s="238" customFormat="1" ht="14.25" x14ac:dyDescent="0.2"/>
    <row r="4077" s="238" customFormat="1" ht="14.25" x14ac:dyDescent="0.2"/>
    <row r="4078" s="238" customFormat="1" ht="14.25" x14ac:dyDescent="0.2"/>
    <row r="4079" s="238" customFormat="1" ht="14.25" x14ac:dyDescent="0.2"/>
    <row r="4080" s="238" customFormat="1" ht="14.25" x14ac:dyDescent="0.2"/>
    <row r="4081" s="238" customFormat="1" ht="14.25" x14ac:dyDescent="0.2"/>
    <row r="4082" s="238" customFormat="1" ht="14.25" x14ac:dyDescent="0.2"/>
    <row r="4083" s="238" customFormat="1" ht="14.25" x14ac:dyDescent="0.2"/>
    <row r="4084" s="238" customFormat="1" ht="14.25" x14ac:dyDescent="0.2"/>
    <row r="4085" s="238" customFormat="1" ht="14.25" x14ac:dyDescent="0.2"/>
    <row r="4086" s="238" customFormat="1" ht="14.25" x14ac:dyDescent="0.2"/>
    <row r="4087" s="238" customFormat="1" ht="14.25" x14ac:dyDescent="0.2"/>
    <row r="4088" s="238" customFormat="1" ht="14.25" x14ac:dyDescent="0.2"/>
    <row r="4089" s="238" customFormat="1" ht="14.25" x14ac:dyDescent="0.2"/>
    <row r="4090" s="238" customFormat="1" ht="14.25" x14ac:dyDescent="0.2"/>
    <row r="4091" s="238" customFormat="1" ht="14.25" x14ac:dyDescent="0.2"/>
    <row r="4092" s="238" customFormat="1" ht="14.25" x14ac:dyDescent="0.2"/>
    <row r="4093" s="238" customFormat="1" ht="14.25" x14ac:dyDescent="0.2"/>
    <row r="4094" s="238" customFormat="1" ht="14.25" x14ac:dyDescent="0.2"/>
    <row r="4095" s="238" customFormat="1" ht="14.25" x14ac:dyDescent="0.2"/>
    <row r="4096" s="238" customFormat="1" ht="14.25" x14ac:dyDescent="0.2"/>
    <row r="4097" s="238" customFormat="1" ht="14.25" x14ac:dyDescent="0.2"/>
    <row r="4098" s="238" customFormat="1" ht="14.25" x14ac:dyDescent="0.2"/>
    <row r="4099" s="238" customFormat="1" ht="14.25" x14ac:dyDescent="0.2"/>
    <row r="4100" s="238" customFormat="1" ht="14.25" x14ac:dyDescent="0.2"/>
    <row r="4101" s="238" customFormat="1" ht="14.25" x14ac:dyDescent="0.2"/>
    <row r="4102" s="238" customFormat="1" ht="14.25" x14ac:dyDescent="0.2"/>
    <row r="4103" s="238" customFormat="1" ht="14.25" x14ac:dyDescent="0.2"/>
    <row r="4104" s="238" customFormat="1" ht="14.25" x14ac:dyDescent="0.2"/>
    <row r="4105" s="238" customFormat="1" ht="14.25" x14ac:dyDescent="0.2"/>
    <row r="4106" s="238" customFormat="1" ht="14.25" x14ac:dyDescent="0.2"/>
    <row r="4107" s="238" customFormat="1" ht="14.25" x14ac:dyDescent="0.2"/>
    <row r="4108" s="238" customFormat="1" ht="14.25" x14ac:dyDescent="0.2"/>
    <row r="4109" s="238" customFormat="1" ht="14.25" x14ac:dyDescent="0.2"/>
    <row r="4110" s="238" customFormat="1" ht="14.25" x14ac:dyDescent="0.2"/>
    <row r="4111" s="238" customFormat="1" ht="14.25" x14ac:dyDescent="0.2"/>
    <row r="4112" s="238" customFormat="1" ht="14.25" x14ac:dyDescent="0.2"/>
    <row r="4113" s="238" customFormat="1" ht="14.25" x14ac:dyDescent="0.2"/>
    <row r="4114" s="238" customFormat="1" ht="14.25" x14ac:dyDescent="0.2"/>
    <row r="4115" s="238" customFormat="1" ht="14.25" x14ac:dyDescent="0.2"/>
    <row r="4116" s="238" customFormat="1" ht="14.25" x14ac:dyDescent="0.2"/>
    <row r="4117" s="238" customFormat="1" ht="14.25" x14ac:dyDescent="0.2"/>
    <row r="4118" s="238" customFormat="1" ht="14.25" x14ac:dyDescent="0.2"/>
    <row r="4119" s="238" customFormat="1" ht="14.25" x14ac:dyDescent="0.2"/>
    <row r="4120" s="238" customFormat="1" ht="14.25" x14ac:dyDescent="0.2"/>
    <row r="4121" s="238" customFormat="1" ht="14.25" x14ac:dyDescent="0.2"/>
    <row r="4122" s="238" customFormat="1" ht="14.25" x14ac:dyDescent="0.2"/>
    <row r="4123" s="238" customFormat="1" ht="14.25" x14ac:dyDescent="0.2"/>
    <row r="4124" s="238" customFormat="1" ht="14.25" x14ac:dyDescent="0.2"/>
    <row r="4125" s="238" customFormat="1" ht="14.25" x14ac:dyDescent="0.2"/>
    <row r="4126" s="238" customFormat="1" ht="14.25" x14ac:dyDescent="0.2"/>
    <row r="4127" s="238" customFormat="1" ht="14.25" x14ac:dyDescent="0.2"/>
    <row r="4128" s="238" customFormat="1" ht="14.25" x14ac:dyDescent="0.2"/>
    <row r="4129" s="238" customFormat="1" ht="14.25" x14ac:dyDescent="0.2"/>
    <row r="4130" s="238" customFormat="1" ht="14.25" x14ac:dyDescent="0.2"/>
    <row r="4131" s="238" customFormat="1" ht="14.25" x14ac:dyDescent="0.2"/>
    <row r="4132" s="238" customFormat="1" ht="14.25" x14ac:dyDescent="0.2"/>
    <row r="4133" s="238" customFormat="1" ht="14.25" x14ac:dyDescent="0.2"/>
    <row r="4134" s="238" customFormat="1" ht="14.25" x14ac:dyDescent="0.2"/>
    <row r="4135" s="238" customFormat="1" ht="14.25" x14ac:dyDescent="0.2"/>
    <row r="4136" s="238" customFormat="1" ht="14.25" x14ac:dyDescent="0.2"/>
    <row r="4137" s="238" customFormat="1" ht="14.25" x14ac:dyDescent="0.2"/>
    <row r="4138" s="238" customFormat="1" ht="14.25" x14ac:dyDescent="0.2"/>
    <row r="4139" s="238" customFormat="1" ht="14.25" x14ac:dyDescent="0.2"/>
    <row r="4140" s="238" customFormat="1" ht="14.25" x14ac:dyDescent="0.2"/>
    <row r="4141" s="238" customFormat="1" ht="14.25" x14ac:dyDescent="0.2"/>
    <row r="4142" s="238" customFormat="1" ht="14.25" x14ac:dyDescent="0.2"/>
    <row r="4143" s="238" customFormat="1" ht="14.25" x14ac:dyDescent="0.2"/>
    <row r="4144" s="238" customFormat="1" ht="14.25" x14ac:dyDescent="0.2"/>
    <row r="4145" s="238" customFormat="1" ht="14.25" x14ac:dyDescent="0.2"/>
    <row r="4146" s="238" customFormat="1" ht="14.25" x14ac:dyDescent="0.2"/>
    <row r="4147" s="238" customFormat="1" ht="14.25" x14ac:dyDescent="0.2"/>
    <row r="4148" s="238" customFormat="1" ht="14.25" x14ac:dyDescent="0.2"/>
    <row r="4149" s="238" customFormat="1" ht="14.25" x14ac:dyDescent="0.2"/>
    <row r="4150" s="238" customFormat="1" ht="14.25" x14ac:dyDescent="0.2"/>
    <row r="4151" s="238" customFormat="1" ht="14.25" x14ac:dyDescent="0.2"/>
    <row r="4152" s="238" customFormat="1" ht="14.25" x14ac:dyDescent="0.2"/>
    <row r="4153" s="238" customFormat="1" ht="14.25" x14ac:dyDescent="0.2"/>
    <row r="4154" s="238" customFormat="1" ht="14.25" x14ac:dyDescent="0.2"/>
    <row r="4155" s="238" customFormat="1" ht="14.25" x14ac:dyDescent="0.2"/>
    <row r="4156" s="238" customFormat="1" ht="14.25" x14ac:dyDescent="0.2"/>
    <row r="4157" s="238" customFormat="1" ht="14.25" x14ac:dyDescent="0.2"/>
    <row r="4158" s="238" customFormat="1" ht="14.25" x14ac:dyDescent="0.2"/>
    <row r="4159" s="238" customFormat="1" ht="14.25" x14ac:dyDescent="0.2"/>
    <row r="4160" s="238" customFormat="1" ht="14.25" x14ac:dyDescent="0.2"/>
    <row r="4161" s="238" customFormat="1" ht="14.25" x14ac:dyDescent="0.2"/>
    <row r="4162" s="238" customFormat="1" ht="14.25" x14ac:dyDescent="0.2"/>
    <row r="4163" s="238" customFormat="1" ht="14.25" x14ac:dyDescent="0.2"/>
    <row r="4164" s="238" customFormat="1" ht="14.25" x14ac:dyDescent="0.2"/>
    <row r="4165" s="238" customFormat="1" ht="14.25" x14ac:dyDescent="0.2"/>
    <row r="4166" s="238" customFormat="1" ht="14.25" x14ac:dyDescent="0.2"/>
    <row r="4167" s="238" customFormat="1" ht="14.25" x14ac:dyDescent="0.2"/>
    <row r="4168" s="238" customFormat="1" ht="14.25" x14ac:dyDescent="0.2"/>
    <row r="4169" s="238" customFormat="1" ht="14.25" x14ac:dyDescent="0.2"/>
    <row r="4170" s="238" customFormat="1" ht="14.25" x14ac:dyDescent="0.2"/>
    <row r="4171" s="238" customFormat="1" ht="14.25" x14ac:dyDescent="0.2"/>
    <row r="4172" s="238" customFormat="1" ht="14.25" x14ac:dyDescent="0.2"/>
    <row r="4173" s="238" customFormat="1" ht="14.25" x14ac:dyDescent="0.2"/>
    <row r="4174" s="238" customFormat="1" ht="14.25" x14ac:dyDescent="0.2"/>
    <row r="4175" s="238" customFormat="1" ht="14.25" x14ac:dyDescent="0.2"/>
    <row r="4176" s="238" customFormat="1" ht="14.25" x14ac:dyDescent="0.2"/>
    <row r="4177" s="238" customFormat="1" ht="14.25" x14ac:dyDescent="0.2"/>
    <row r="4178" s="238" customFormat="1" ht="14.25" x14ac:dyDescent="0.2"/>
    <row r="4179" s="238" customFormat="1" ht="14.25" x14ac:dyDescent="0.2"/>
    <row r="4180" s="238" customFormat="1" ht="14.25" x14ac:dyDescent="0.2"/>
    <row r="4181" s="238" customFormat="1" ht="14.25" x14ac:dyDescent="0.2"/>
    <row r="4182" s="238" customFormat="1" ht="14.25" x14ac:dyDescent="0.2"/>
    <row r="4183" s="238" customFormat="1" ht="14.25" x14ac:dyDescent="0.2"/>
    <row r="4184" s="238" customFormat="1" ht="14.25" x14ac:dyDescent="0.2"/>
    <row r="4185" s="238" customFormat="1" ht="14.25" x14ac:dyDescent="0.2"/>
    <row r="4186" s="238" customFormat="1" ht="14.25" x14ac:dyDescent="0.2"/>
    <row r="4187" s="238" customFormat="1" ht="14.25" x14ac:dyDescent="0.2"/>
    <row r="4188" s="238" customFormat="1" ht="14.25" x14ac:dyDescent="0.2"/>
    <row r="4189" s="238" customFormat="1" ht="14.25" x14ac:dyDescent="0.2"/>
    <row r="4190" s="238" customFormat="1" ht="14.25" x14ac:dyDescent="0.2"/>
    <row r="4191" s="238" customFormat="1" ht="14.25" x14ac:dyDescent="0.2"/>
    <row r="4192" s="238" customFormat="1" ht="14.25" x14ac:dyDescent="0.2"/>
    <row r="4193" s="238" customFormat="1" ht="14.25" x14ac:dyDescent="0.2"/>
    <row r="4194" s="238" customFormat="1" ht="14.25" x14ac:dyDescent="0.2"/>
    <row r="4195" s="238" customFormat="1" ht="14.25" x14ac:dyDescent="0.2"/>
    <row r="4196" s="238" customFormat="1" ht="14.25" x14ac:dyDescent="0.2"/>
    <row r="4197" s="238" customFormat="1" ht="14.25" x14ac:dyDescent="0.2"/>
    <row r="4198" s="238" customFormat="1" ht="14.25" x14ac:dyDescent="0.2"/>
    <row r="4199" s="238" customFormat="1" ht="14.25" x14ac:dyDescent="0.2"/>
    <row r="4200" s="238" customFormat="1" ht="14.25" x14ac:dyDescent="0.2"/>
    <row r="4201" s="238" customFormat="1" ht="14.25" x14ac:dyDescent="0.2"/>
    <row r="4202" s="238" customFormat="1" ht="14.25" x14ac:dyDescent="0.2"/>
    <row r="4203" s="238" customFormat="1" ht="14.25" x14ac:dyDescent="0.2"/>
    <row r="4204" s="238" customFormat="1" ht="14.25" x14ac:dyDescent="0.2"/>
    <row r="4205" s="238" customFormat="1" ht="14.25" x14ac:dyDescent="0.2"/>
    <row r="4206" s="238" customFormat="1" ht="14.25" x14ac:dyDescent="0.2"/>
    <row r="4207" s="238" customFormat="1" ht="14.25" x14ac:dyDescent="0.2"/>
    <row r="4208" s="238" customFormat="1" ht="14.25" x14ac:dyDescent="0.2"/>
    <row r="4209" s="238" customFormat="1" ht="14.25" x14ac:dyDescent="0.2"/>
    <row r="4210" s="238" customFormat="1" ht="14.25" x14ac:dyDescent="0.2"/>
    <row r="4211" s="238" customFormat="1" ht="14.25" x14ac:dyDescent="0.2"/>
    <row r="4212" s="238" customFormat="1" ht="14.25" x14ac:dyDescent="0.2"/>
    <row r="4213" s="238" customFormat="1" ht="14.25" x14ac:dyDescent="0.2"/>
    <row r="4214" s="238" customFormat="1" ht="14.25" x14ac:dyDescent="0.2"/>
    <row r="4215" s="238" customFormat="1" ht="14.25" x14ac:dyDescent="0.2"/>
    <row r="4216" s="238" customFormat="1" ht="14.25" x14ac:dyDescent="0.2"/>
    <row r="4217" s="238" customFormat="1" ht="14.25" x14ac:dyDescent="0.2"/>
    <row r="4218" s="238" customFormat="1" ht="14.25" x14ac:dyDescent="0.2"/>
    <row r="4219" s="238" customFormat="1" ht="14.25" x14ac:dyDescent="0.2"/>
    <row r="4220" s="238" customFormat="1" ht="14.25" x14ac:dyDescent="0.2"/>
    <row r="4221" s="238" customFormat="1" ht="14.25" x14ac:dyDescent="0.2"/>
    <row r="4222" s="238" customFormat="1" ht="14.25" x14ac:dyDescent="0.2"/>
    <row r="4223" s="238" customFormat="1" ht="14.25" x14ac:dyDescent="0.2"/>
    <row r="4224" s="238" customFormat="1" ht="14.25" x14ac:dyDescent="0.2"/>
    <row r="4225" s="238" customFormat="1" ht="14.25" x14ac:dyDescent="0.2"/>
    <row r="4226" s="238" customFormat="1" ht="14.25" x14ac:dyDescent="0.2"/>
    <row r="4227" s="238" customFormat="1" ht="14.25" x14ac:dyDescent="0.2"/>
    <row r="4228" s="238" customFormat="1" ht="14.25" x14ac:dyDescent="0.2"/>
    <row r="4229" s="238" customFormat="1" ht="14.25" x14ac:dyDescent="0.2"/>
    <row r="4230" s="238" customFormat="1" ht="14.25" x14ac:dyDescent="0.2"/>
    <row r="4231" s="238" customFormat="1" ht="14.25" x14ac:dyDescent="0.2"/>
    <row r="4232" s="238" customFormat="1" ht="14.25" x14ac:dyDescent="0.2"/>
    <row r="4233" s="238" customFormat="1" ht="14.25" x14ac:dyDescent="0.2"/>
    <row r="4234" s="238" customFormat="1" ht="14.25" x14ac:dyDescent="0.2"/>
    <row r="4235" s="238" customFormat="1" ht="14.25" x14ac:dyDescent="0.2"/>
    <row r="4236" s="238" customFormat="1" ht="14.25" x14ac:dyDescent="0.2"/>
    <row r="4237" s="238" customFormat="1" ht="14.25" x14ac:dyDescent="0.2"/>
    <row r="4238" s="238" customFormat="1" ht="14.25" x14ac:dyDescent="0.2"/>
    <row r="4239" s="238" customFormat="1" ht="14.25" x14ac:dyDescent="0.2"/>
    <row r="4240" s="238" customFormat="1" ht="14.25" x14ac:dyDescent="0.2"/>
    <row r="4241" s="238" customFormat="1" ht="14.25" x14ac:dyDescent="0.2"/>
    <row r="4242" s="238" customFormat="1" ht="14.25" x14ac:dyDescent="0.2"/>
    <row r="4243" s="238" customFormat="1" ht="14.25" x14ac:dyDescent="0.2"/>
    <row r="4244" s="238" customFormat="1" ht="14.25" x14ac:dyDescent="0.2"/>
    <row r="4245" s="238" customFormat="1" ht="14.25" x14ac:dyDescent="0.2"/>
    <row r="4246" s="238" customFormat="1" ht="14.25" x14ac:dyDescent="0.2"/>
    <row r="4247" s="238" customFormat="1" ht="14.25" x14ac:dyDescent="0.2"/>
    <row r="4248" s="238" customFormat="1" ht="14.25" x14ac:dyDescent="0.2"/>
    <row r="4249" s="238" customFormat="1" ht="14.25" x14ac:dyDescent="0.2"/>
    <row r="4250" s="238" customFormat="1" ht="14.25" x14ac:dyDescent="0.2"/>
    <row r="4251" s="238" customFormat="1" ht="14.25" x14ac:dyDescent="0.2"/>
    <row r="4252" s="238" customFormat="1" ht="14.25" x14ac:dyDescent="0.2"/>
    <row r="4253" s="238" customFormat="1" ht="14.25" x14ac:dyDescent="0.2"/>
    <row r="4254" s="238" customFormat="1" ht="14.25" x14ac:dyDescent="0.2"/>
    <row r="4255" s="238" customFormat="1" ht="14.25" x14ac:dyDescent="0.2"/>
    <row r="4256" s="238" customFormat="1" ht="14.25" x14ac:dyDescent="0.2"/>
    <row r="4257" s="238" customFormat="1" ht="14.25" x14ac:dyDescent="0.2"/>
    <row r="4258" s="238" customFormat="1" ht="14.25" x14ac:dyDescent="0.2"/>
    <row r="4259" s="238" customFormat="1" ht="14.25" x14ac:dyDescent="0.2"/>
    <row r="4260" s="238" customFormat="1" ht="14.25" x14ac:dyDescent="0.2"/>
    <row r="4261" s="238" customFormat="1" ht="14.25" x14ac:dyDescent="0.2"/>
    <row r="4262" s="238" customFormat="1" ht="14.25" x14ac:dyDescent="0.2"/>
    <row r="4263" s="238" customFormat="1" ht="14.25" x14ac:dyDescent="0.2"/>
    <row r="4264" s="238" customFormat="1" ht="14.25" x14ac:dyDescent="0.2"/>
    <row r="4265" s="238" customFormat="1" ht="14.25" x14ac:dyDescent="0.2"/>
    <row r="4266" s="238" customFormat="1" ht="14.25" x14ac:dyDescent="0.2"/>
    <row r="4267" s="238" customFormat="1" ht="14.25" x14ac:dyDescent="0.2"/>
    <row r="4268" s="238" customFormat="1" ht="14.25" x14ac:dyDescent="0.2"/>
    <row r="4269" s="238" customFormat="1" ht="14.25" x14ac:dyDescent="0.2"/>
    <row r="4270" s="238" customFormat="1" ht="14.25" x14ac:dyDescent="0.2"/>
    <row r="4271" s="238" customFormat="1" ht="14.25" x14ac:dyDescent="0.2"/>
    <row r="4272" s="238" customFormat="1" ht="14.25" x14ac:dyDescent="0.2"/>
    <row r="4273" s="238" customFormat="1" ht="14.25" x14ac:dyDescent="0.2"/>
    <row r="4274" s="238" customFormat="1" ht="14.25" x14ac:dyDescent="0.2"/>
    <row r="4275" s="238" customFormat="1" ht="14.25" x14ac:dyDescent="0.2"/>
    <row r="4276" s="238" customFormat="1" ht="14.25" x14ac:dyDescent="0.2"/>
    <row r="4277" s="238" customFormat="1" ht="14.25" x14ac:dyDescent="0.2"/>
    <row r="4278" s="238" customFormat="1" ht="14.25" x14ac:dyDescent="0.2"/>
    <row r="4279" s="238" customFormat="1" ht="14.25" x14ac:dyDescent="0.2"/>
    <row r="4280" s="238" customFormat="1" ht="14.25" x14ac:dyDescent="0.2"/>
    <row r="4281" s="238" customFormat="1" ht="14.25" x14ac:dyDescent="0.2"/>
    <row r="4282" s="238" customFormat="1" ht="14.25" x14ac:dyDescent="0.2"/>
    <row r="4283" s="238" customFormat="1" ht="14.25" x14ac:dyDescent="0.2"/>
    <row r="4284" s="238" customFormat="1" ht="14.25" x14ac:dyDescent="0.2"/>
    <row r="4285" s="238" customFormat="1" ht="14.25" x14ac:dyDescent="0.2"/>
    <row r="4286" s="238" customFormat="1" ht="14.25" x14ac:dyDescent="0.2"/>
    <row r="4287" s="238" customFormat="1" ht="14.25" x14ac:dyDescent="0.2"/>
    <row r="4288" s="238" customFormat="1" ht="14.25" x14ac:dyDescent="0.2"/>
    <row r="4289" s="238" customFormat="1" ht="14.25" x14ac:dyDescent="0.2"/>
    <row r="4290" s="238" customFormat="1" ht="14.25" x14ac:dyDescent="0.2"/>
    <row r="4291" s="238" customFormat="1" ht="14.25" x14ac:dyDescent="0.2"/>
    <row r="4292" s="238" customFormat="1" ht="14.25" x14ac:dyDescent="0.2"/>
    <row r="4293" s="238" customFormat="1" ht="14.25" x14ac:dyDescent="0.2"/>
    <row r="4294" s="238" customFormat="1" ht="14.25" x14ac:dyDescent="0.2"/>
    <row r="4295" s="238" customFormat="1" ht="14.25" x14ac:dyDescent="0.2"/>
    <row r="4296" s="238" customFormat="1" ht="14.25" x14ac:dyDescent="0.2"/>
    <row r="4297" s="238" customFormat="1" ht="14.25" x14ac:dyDescent="0.2"/>
    <row r="4298" s="238" customFormat="1" ht="14.25" x14ac:dyDescent="0.2"/>
    <row r="4299" s="238" customFormat="1" ht="14.25" x14ac:dyDescent="0.2"/>
    <row r="4300" s="238" customFormat="1" ht="14.25" x14ac:dyDescent="0.2"/>
    <row r="4301" s="238" customFormat="1" ht="14.25" x14ac:dyDescent="0.2"/>
    <row r="4302" s="238" customFormat="1" ht="14.25" x14ac:dyDescent="0.2"/>
    <row r="4303" s="238" customFormat="1" ht="14.25" x14ac:dyDescent="0.2"/>
    <row r="4304" s="238" customFormat="1" ht="14.25" x14ac:dyDescent="0.2"/>
    <row r="4305" s="238" customFormat="1" ht="14.25" x14ac:dyDescent="0.2"/>
    <row r="4306" s="238" customFormat="1" ht="14.25" x14ac:dyDescent="0.2"/>
    <row r="4307" s="238" customFormat="1" ht="14.25" x14ac:dyDescent="0.2"/>
    <row r="4308" s="238" customFormat="1" ht="14.25" x14ac:dyDescent="0.2"/>
    <row r="4309" s="238" customFormat="1" ht="14.25" x14ac:dyDescent="0.2"/>
    <row r="4310" s="238" customFormat="1" ht="14.25" x14ac:dyDescent="0.2"/>
    <row r="4311" s="238" customFormat="1" ht="14.25" x14ac:dyDescent="0.2"/>
    <row r="4312" s="238" customFormat="1" ht="14.25" x14ac:dyDescent="0.2"/>
    <row r="4313" s="238" customFormat="1" ht="14.25" x14ac:dyDescent="0.2"/>
    <row r="4314" s="238" customFormat="1" ht="14.25" x14ac:dyDescent="0.2"/>
    <row r="4315" s="238" customFormat="1" ht="14.25" x14ac:dyDescent="0.2"/>
    <row r="4316" s="238" customFormat="1" ht="14.25" x14ac:dyDescent="0.2"/>
    <row r="4317" s="238" customFormat="1" ht="14.25" x14ac:dyDescent="0.2"/>
    <row r="4318" s="238" customFormat="1" ht="14.25" x14ac:dyDescent="0.2"/>
    <row r="4319" s="238" customFormat="1" ht="14.25" x14ac:dyDescent="0.2"/>
    <row r="4320" s="238" customFormat="1" ht="14.25" x14ac:dyDescent="0.2"/>
    <row r="4321" s="238" customFormat="1" ht="14.25" x14ac:dyDescent="0.2"/>
    <row r="4322" s="238" customFormat="1" ht="14.25" x14ac:dyDescent="0.2"/>
    <row r="4323" s="238" customFormat="1" ht="14.25" x14ac:dyDescent="0.2"/>
    <row r="4324" s="238" customFormat="1" ht="14.25" x14ac:dyDescent="0.2"/>
    <row r="4325" s="238" customFormat="1" ht="14.25" x14ac:dyDescent="0.2"/>
    <row r="4326" s="238" customFormat="1" ht="14.25" x14ac:dyDescent="0.2"/>
    <row r="4327" s="238" customFormat="1" ht="14.25" x14ac:dyDescent="0.2"/>
    <row r="4328" s="238" customFormat="1" ht="14.25" x14ac:dyDescent="0.2"/>
    <row r="4329" s="238" customFormat="1" ht="14.25" x14ac:dyDescent="0.2"/>
    <row r="4330" s="238" customFormat="1" ht="14.25" x14ac:dyDescent="0.2"/>
    <row r="4331" s="238" customFormat="1" ht="14.25" x14ac:dyDescent="0.2"/>
    <row r="4332" s="238" customFormat="1" ht="14.25" x14ac:dyDescent="0.2"/>
    <row r="4333" s="238" customFormat="1" ht="14.25" x14ac:dyDescent="0.2"/>
    <row r="4334" s="238" customFormat="1" ht="14.25" x14ac:dyDescent="0.2"/>
    <row r="4335" s="238" customFormat="1" ht="14.25" x14ac:dyDescent="0.2"/>
    <row r="4336" s="238" customFormat="1" ht="14.25" x14ac:dyDescent="0.2"/>
    <row r="4337" s="238" customFormat="1" ht="14.25" x14ac:dyDescent="0.2"/>
    <row r="4338" s="238" customFormat="1" ht="14.25" x14ac:dyDescent="0.2"/>
    <row r="4339" s="238" customFormat="1" ht="14.25" x14ac:dyDescent="0.2"/>
    <row r="4340" s="238" customFormat="1" ht="14.25" x14ac:dyDescent="0.2"/>
    <row r="4341" s="238" customFormat="1" ht="14.25" x14ac:dyDescent="0.2"/>
    <row r="4342" s="238" customFormat="1" ht="14.25" x14ac:dyDescent="0.2"/>
    <row r="4343" s="238" customFormat="1" ht="14.25" x14ac:dyDescent="0.2"/>
    <row r="4344" s="238" customFormat="1" ht="14.25" x14ac:dyDescent="0.2"/>
    <row r="4345" s="238" customFormat="1" ht="14.25" x14ac:dyDescent="0.2"/>
    <row r="4346" s="238" customFormat="1" ht="14.25" x14ac:dyDescent="0.2"/>
    <row r="4347" s="238" customFormat="1" ht="14.25" x14ac:dyDescent="0.2"/>
    <row r="4348" s="238" customFormat="1" ht="14.25" x14ac:dyDescent="0.2"/>
    <row r="4349" s="238" customFormat="1" ht="14.25" x14ac:dyDescent="0.2"/>
    <row r="4350" s="238" customFormat="1" ht="14.25" x14ac:dyDescent="0.2"/>
    <row r="4351" s="238" customFormat="1" ht="14.25" x14ac:dyDescent="0.2"/>
    <row r="4352" s="238" customFormat="1" ht="14.25" x14ac:dyDescent="0.2"/>
    <row r="4353" s="238" customFormat="1" ht="14.25" x14ac:dyDescent="0.2"/>
    <row r="4354" s="238" customFormat="1" ht="14.25" x14ac:dyDescent="0.2"/>
    <row r="4355" s="238" customFormat="1" ht="14.25" x14ac:dyDescent="0.2"/>
    <row r="4356" s="238" customFormat="1" ht="14.25" x14ac:dyDescent="0.2"/>
    <row r="4357" s="238" customFormat="1" ht="14.25" x14ac:dyDescent="0.2"/>
    <row r="4358" s="238" customFormat="1" ht="14.25" x14ac:dyDescent="0.2"/>
    <row r="4359" s="238" customFormat="1" ht="14.25" x14ac:dyDescent="0.2"/>
    <row r="4360" s="238" customFormat="1" ht="14.25" x14ac:dyDescent="0.2"/>
    <row r="4361" s="238" customFormat="1" ht="14.25" x14ac:dyDescent="0.2"/>
    <row r="4362" s="238" customFormat="1" ht="14.25" x14ac:dyDescent="0.2"/>
    <row r="4363" s="238" customFormat="1" ht="14.25" x14ac:dyDescent="0.2"/>
    <row r="4364" s="238" customFormat="1" ht="14.25" x14ac:dyDescent="0.2"/>
    <row r="4365" s="238" customFormat="1" ht="14.25" x14ac:dyDescent="0.2"/>
    <row r="4366" s="238" customFormat="1" ht="14.25" x14ac:dyDescent="0.2"/>
    <row r="4367" s="238" customFormat="1" ht="14.25" x14ac:dyDescent="0.2"/>
    <row r="4368" s="238" customFormat="1" ht="14.25" x14ac:dyDescent="0.2"/>
    <row r="4369" s="238" customFormat="1" ht="14.25" x14ac:dyDescent="0.2"/>
    <row r="4370" s="238" customFormat="1" ht="14.25" x14ac:dyDescent="0.2"/>
    <row r="4371" s="238" customFormat="1" ht="14.25" x14ac:dyDescent="0.2"/>
    <row r="4372" s="238" customFormat="1" ht="14.25" x14ac:dyDescent="0.2"/>
    <row r="4373" s="238" customFormat="1" ht="14.25" x14ac:dyDescent="0.2"/>
    <row r="4374" s="238" customFormat="1" ht="14.25" x14ac:dyDescent="0.2"/>
    <row r="4375" s="238" customFormat="1" ht="14.25" x14ac:dyDescent="0.2"/>
    <row r="4376" s="238" customFormat="1" ht="14.25" x14ac:dyDescent="0.2"/>
    <row r="4377" s="238" customFormat="1" ht="14.25" x14ac:dyDescent="0.2"/>
    <row r="4378" s="238" customFormat="1" ht="14.25" x14ac:dyDescent="0.2"/>
    <row r="4379" s="238" customFormat="1" ht="14.25" x14ac:dyDescent="0.2"/>
    <row r="4380" s="238" customFormat="1" ht="14.25" x14ac:dyDescent="0.2"/>
    <row r="4381" s="238" customFormat="1" ht="14.25" x14ac:dyDescent="0.2"/>
    <row r="4382" s="238" customFormat="1" ht="14.25" x14ac:dyDescent="0.2"/>
    <row r="4383" s="238" customFormat="1" ht="14.25" x14ac:dyDescent="0.2"/>
    <row r="4384" s="238" customFormat="1" ht="14.25" x14ac:dyDescent="0.2"/>
    <row r="4385" s="238" customFormat="1" ht="14.25" x14ac:dyDescent="0.2"/>
    <row r="4386" s="238" customFormat="1" ht="14.25" x14ac:dyDescent="0.2"/>
    <row r="4387" s="238" customFormat="1" ht="14.25" x14ac:dyDescent="0.2"/>
    <row r="4388" s="238" customFormat="1" ht="14.25" x14ac:dyDescent="0.2"/>
    <row r="4389" s="238" customFormat="1" ht="14.25" x14ac:dyDescent="0.2"/>
    <row r="4390" s="238" customFormat="1" ht="14.25" x14ac:dyDescent="0.2"/>
    <row r="4391" s="238" customFormat="1" ht="14.25" x14ac:dyDescent="0.2"/>
    <row r="4392" s="238" customFormat="1" ht="14.25" x14ac:dyDescent="0.2"/>
    <row r="4393" s="238" customFormat="1" ht="14.25" x14ac:dyDescent="0.2"/>
    <row r="4394" s="238" customFormat="1" ht="14.25" x14ac:dyDescent="0.2"/>
    <row r="4395" s="238" customFormat="1" ht="14.25" x14ac:dyDescent="0.2"/>
    <row r="4396" s="238" customFormat="1" ht="14.25" x14ac:dyDescent="0.2"/>
    <row r="4397" s="238" customFormat="1" ht="14.25" x14ac:dyDescent="0.2"/>
    <row r="4398" s="238" customFormat="1" ht="14.25" x14ac:dyDescent="0.2"/>
    <row r="4399" s="238" customFormat="1" ht="14.25" x14ac:dyDescent="0.2"/>
    <row r="4400" s="238" customFormat="1" ht="14.25" x14ac:dyDescent="0.2"/>
    <row r="4401" s="238" customFormat="1" ht="14.25" x14ac:dyDescent="0.2"/>
    <row r="4402" s="238" customFormat="1" ht="14.25" x14ac:dyDescent="0.2"/>
    <row r="4403" s="238" customFormat="1" ht="14.25" x14ac:dyDescent="0.2"/>
    <row r="4404" s="238" customFormat="1" ht="14.25" x14ac:dyDescent="0.2"/>
    <row r="4405" s="238" customFormat="1" ht="14.25" x14ac:dyDescent="0.2"/>
    <row r="4406" s="238" customFormat="1" ht="14.25" x14ac:dyDescent="0.2"/>
    <row r="4407" s="238" customFormat="1" ht="14.25" x14ac:dyDescent="0.2"/>
    <row r="4408" s="238" customFormat="1" ht="14.25" x14ac:dyDescent="0.2"/>
    <row r="4409" s="238" customFormat="1" ht="14.25" x14ac:dyDescent="0.2"/>
    <row r="4410" s="238" customFormat="1" ht="14.25" x14ac:dyDescent="0.2"/>
    <row r="4411" s="238" customFormat="1" ht="14.25" x14ac:dyDescent="0.2"/>
    <row r="4412" s="238" customFormat="1" ht="14.25" x14ac:dyDescent="0.2"/>
    <row r="4413" s="238" customFormat="1" ht="14.25" x14ac:dyDescent="0.2"/>
    <row r="4414" s="238" customFormat="1" ht="14.25" x14ac:dyDescent="0.2"/>
    <row r="4415" s="238" customFormat="1" ht="14.25" x14ac:dyDescent="0.2"/>
    <row r="4416" s="238" customFormat="1" ht="14.25" x14ac:dyDescent="0.2"/>
    <row r="4417" s="238" customFormat="1" ht="14.25" x14ac:dyDescent="0.2"/>
    <row r="4418" s="238" customFormat="1" ht="14.25" x14ac:dyDescent="0.2"/>
    <row r="4419" s="238" customFormat="1" ht="14.25" x14ac:dyDescent="0.2"/>
    <row r="4420" s="238" customFormat="1" ht="14.25" x14ac:dyDescent="0.2"/>
    <row r="4421" s="238" customFormat="1" ht="14.25" x14ac:dyDescent="0.2"/>
    <row r="4422" s="238" customFormat="1" ht="14.25" x14ac:dyDescent="0.2"/>
    <row r="4423" s="238" customFormat="1" ht="14.25" x14ac:dyDescent="0.2"/>
    <row r="4424" s="238" customFormat="1" ht="14.25" x14ac:dyDescent="0.2"/>
    <row r="4425" s="238" customFormat="1" ht="14.25" x14ac:dyDescent="0.2"/>
    <row r="4426" s="238" customFormat="1" ht="14.25" x14ac:dyDescent="0.2"/>
    <row r="4427" s="238" customFormat="1" ht="14.25" x14ac:dyDescent="0.2"/>
    <row r="4428" s="238" customFormat="1" ht="14.25" x14ac:dyDescent="0.2"/>
    <row r="4429" s="238" customFormat="1" ht="14.25" x14ac:dyDescent="0.2"/>
    <row r="4430" s="238" customFormat="1" ht="14.25" x14ac:dyDescent="0.2"/>
    <row r="4431" s="238" customFormat="1" ht="14.25" x14ac:dyDescent="0.2"/>
    <row r="4432" s="238" customFormat="1" ht="14.25" x14ac:dyDescent="0.2"/>
    <row r="4433" s="238" customFormat="1" ht="14.25" x14ac:dyDescent="0.2"/>
    <row r="4434" s="238" customFormat="1" ht="14.25" x14ac:dyDescent="0.2"/>
    <row r="4435" s="238" customFormat="1" ht="14.25" x14ac:dyDescent="0.2"/>
    <row r="4436" s="238" customFormat="1" ht="14.25" x14ac:dyDescent="0.2"/>
    <row r="4437" s="238" customFormat="1" ht="14.25" x14ac:dyDescent="0.2"/>
    <row r="4438" s="238" customFormat="1" ht="14.25" x14ac:dyDescent="0.2"/>
    <row r="4439" s="238" customFormat="1" ht="14.25" x14ac:dyDescent="0.2"/>
    <row r="4440" s="238" customFormat="1" ht="14.25" x14ac:dyDescent="0.2"/>
    <row r="4441" s="238" customFormat="1" ht="14.25" x14ac:dyDescent="0.2"/>
    <row r="4442" s="238" customFormat="1" ht="14.25" x14ac:dyDescent="0.2"/>
    <row r="4443" s="238" customFormat="1" ht="14.25" x14ac:dyDescent="0.2"/>
    <row r="4444" s="238" customFormat="1" ht="14.25" x14ac:dyDescent="0.2"/>
    <row r="4445" s="238" customFormat="1" ht="14.25" x14ac:dyDescent="0.2"/>
    <row r="4446" s="238" customFormat="1" ht="14.25" x14ac:dyDescent="0.2"/>
    <row r="4447" s="238" customFormat="1" ht="14.25" x14ac:dyDescent="0.2"/>
    <row r="4448" s="238" customFormat="1" ht="14.25" x14ac:dyDescent="0.2"/>
    <row r="4449" s="238" customFormat="1" ht="14.25" x14ac:dyDescent="0.2"/>
    <row r="4450" s="238" customFormat="1" ht="14.25" x14ac:dyDescent="0.2"/>
    <row r="4451" s="238" customFormat="1" ht="14.25" x14ac:dyDescent="0.2"/>
    <row r="4452" s="238" customFormat="1" ht="14.25" x14ac:dyDescent="0.2"/>
    <row r="4453" s="238" customFormat="1" ht="14.25" x14ac:dyDescent="0.2"/>
    <row r="4454" s="238" customFormat="1" ht="14.25" x14ac:dyDescent="0.2"/>
    <row r="4455" s="238" customFormat="1" ht="14.25" x14ac:dyDescent="0.2"/>
    <row r="4456" s="238" customFormat="1" ht="14.25" x14ac:dyDescent="0.2"/>
    <row r="4457" s="238" customFormat="1" ht="14.25" x14ac:dyDescent="0.2"/>
    <row r="4458" s="238" customFormat="1" ht="14.25" x14ac:dyDescent="0.2"/>
    <row r="4459" s="238" customFormat="1" ht="14.25" x14ac:dyDescent="0.2"/>
    <row r="4460" s="238" customFormat="1" ht="14.25" x14ac:dyDescent="0.2"/>
    <row r="4461" s="238" customFormat="1" ht="14.25" x14ac:dyDescent="0.2"/>
    <row r="4462" s="238" customFormat="1" ht="14.25" x14ac:dyDescent="0.2"/>
    <row r="4463" s="238" customFormat="1" ht="14.25" x14ac:dyDescent="0.2"/>
    <row r="4464" s="238" customFormat="1" ht="14.25" x14ac:dyDescent="0.2"/>
    <row r="4465" s="238" customFormat="1" ht="14.25" x14ac:dyDescent="0.2"/>
    <row r="4466" s="238" customFormat="1" ht="14.25" x14ac:dyDescent="0.2"/>
    <row r="4467" s="238" customFormat="1" ht="14.25" x14ac:dyDescent="0.2"/>
    <row r="4468" s="238" customFormat="1" ht="14.25" x14ac:dyDescent="0.2"/>
    <row r="4469" s="238" customFormat="1" ht="14.25" x14ac:dyDescent="0.2"/>
    <row r="4470" s="238" customFormat="1" ht="14.25" x14ac:dyDescent="0.2"/>
    <row r="4471" s="238" customFormat="1" ht="14.25" x14ac:dyDescent="0.2"/>
    <row r="4472" s="238" customFormat="1" ht="14.25" x14ac:dyDescent="0.2"/>
    <row r="4473" s="238" customFormat="1" ht="14.25" x14ac:dyDescent="0.2"/>
    <row r="4474" s="238" customFormat="1" ht="14.25" x14ac:dyDescent="0.2"/>
    <row r="4475" s="238" customFormat="1" ht="14.25" x14ac:dyDescent="0.2"/>
    <row r="4476" s="238" customFormat="1" ht="14.25" x14ac:dyDescent="0.2"/>
    <row r="4477" s="238" customFormat="1" ht="14.25" x14ac:dyDescent="0.2"/>
    <row r="4478" s="238" customFormat="1" ht="14.25" x14ac:dyDescent="0.2"/>
    <row r="4479" s="238" customFormat="1" ht="14.25" x14ac:dyDescent="0.2"/>
    <row r="4480" s="238" customFormat="1" ht="14.25" x14ac:dyDescent="0.2"/>
    <row r="4481" s="238" customFormat="1" ht="14.25" x14ac:dyDescent="0.2"/>
    <row r="4482" s="238" customFormat="1" ht="14.25" x14ac:dyDescent="0.2"/>
    <row r="4483" s="238" customFormat="1" ht="14.25" x14ac:dyDescent="0.2"/>
    <row r="4484" s="238" customFormat="1" ht="14.25" x14ac:dyDescent="0.2"/>
    <row r="4485" s="238" customFormat="1" ht="14.25" x14ac:dyDescent="0.2"/>
    <row r="4486" s="238" customFormat="1" ht="14.25" x14ac:dyDescent="0.2"/>
    <row r="4487" s="238" customFormat="1" ht="14.25" x14ac:dyDescent="0.2"/>
    <row r="4488" s="238" customFormat="1" ht="14.25" x14ac:dyDescent="0.2"/>
    <row r="4489" s="238" customFormat="1" ht="14.25" x14ac:dyDescent="0.2"/>
    <row r="4490" s="238" customFormat="1" ht="14.25" x14ac:dyDescent="0.2"/>
    <row r="4491" s="238" customFormat="1" ht="14.25" x14ac:dyDescent="0.2"/>
    <row r="4492" s="238" customFormat="1" ht="14.25" x14ac:dyDescent="0.2"/>
    <row r="4493" s="238" customFormat="1" ht="14.25" x14ac:dyDescent="0.2"/>
    <row r="4494" s="238" customFormat="1" ht="14.25" x14ac:dyDescent="0.2"/>
    <row r="4495" s="238" customFormat="1" ht="14.25" x14ac:dyDescent="0.2"/>
    <row r="4496" s="238" customFormat="1" ht="14.25" x14ac:dyDescent="0.2"/>
    <row r="4497" s="238" customFormat="1" ht="14.25" x14ac:dyDescent="0.2"/>
    <row r="4498" s="238" customFormat="1" ht="14.25" x14ac:dyDescent="0.2"/>
    <row r="4499" s="238" customFormat="1" ht="14.25" x14ac:dyDescent="0.2"/>
    <row r="4500" s="238" customFormat="1" ht="14.25" x14ac:dyDescent="0.2"/>
    <row r="4501" s="238" customFormat="1" ht="14.25" x14ac:dyDescent="0.2"/>
    <row r="4502" s="238" customFormat="1" ht="14.25" x14ac:dyDescent="0.2"/>
    <row r="4503" s="238" customFormat="1" ht="14.25" x14ac:dyDescent="0.2"/>
    <row r="4504" s="238" customFormat="1" ht="14.25" x14ac:dyDescent="0.2"/>
    <row r="4505" s="238" customFormat="1" ht="14.25" x14ac:dyDescent="0.2"/>
    <row r="4506" s="238" customFormat="1" ht="14.25" x14ac:dyDescent="0.2"/>
    <row r="4507" s="238" customFormat="1" ht="14.25" x14ac:dyDescent="0.2"/>
    <row r="4508" s="238" customFormat="1" ht="14.25" x14ac:dyDescent="0.2"/>
    <row r="4509" s="238" customFormat="1" ht="14.25" x14ac:dyDescent="0.2"/>
    <row r="4510" s="238" customFormat="1" ht="14.25" x14ac:dyDescent="0.2"/>
    <row r="4511" s="238" customFormat="1" ht="14.25" x14ac:dyDescent="0.2"/>
    <row r="4512" s="238" customFormat="1" ht="14.25" x14ac:dyDescent="0.2"/>
    <row r="4513" s="238" customFormat="1" ht="14.25" x14ac:dyDescent="0.2"/>
    <row r="4514" s="238" customFormat="1" ht="14.25" x14ac:dyDescent="0.2"/>
    <row r="4515" s="238" customFormat="1" ht="14.25" x14ac:dyDescent="0.2"/>
    <row r="4516" s="238" customFormat="1" ht="14.25" x14ac:dyDescent="0.2"/>
    <row r="4517" s="238" customFormat="1" ht="14.25" x14ac:dyDescent="0.2"/>
    <row r="4518" s="238" customFormat="1" ht="14.25" x14ac:dyDescent="0.2"/>
    <row r="4519" s="238" customFormat="1" ht="14.25" x14ac:dyDescent="0.2"/>
    <row r="4520" s="238" customFormat="1" ht="14.25" x14ac:dyDescent="0.2"/>
    <row r="4521" s="238" customFormat="1" ht="14.25" x14ac:dyDescent="0.2"/>
    <row r="4522" s="238" customFormat="1" ht="14.25" x14ac:dyDescent="0.2"/>
    <row r="4523" s="238" customFormat="1" ht="14.25" x14ac:dyDescent="0.2"/>
    <row r="4524" s="238" customFormat="1" ht="14.25" x14ac:dyDescent="0.2"/>
    <row r="4525" s="238" customFormat="1" ht="14.25" x14ac:dyDescent="0.2"/>
    <row r="4526" s="238" customFormat="1" ht="14.25" x14ac:dyDescent="0.2"/>
    <row r="4527" s="238" customFormat="1" ht="14.25" x14ac:dyDescent="0.2"/>
    <row r="4528" s="238" customFormat="1" ht="14.25" x14ac:dyDescent="0.2"/>
    <row r="4529" s="238" customFormat="1" ht="14.25" x14ac:dyDescent="0.2"/>
    <row r="4530" s="238" customFormat="1" ht="14.25" x14ac:dyDescent="0.2"/>
    <row r="4531" s="238" customFormat="1" ht="14.25" x14ac:dyDescent="0.2"/>
    <row r="4532" s="238" customFormat="1" ht="14.25" x14ac:dyDescent="0.2"/>
    <row r="4533" s="238" customFormat="1" ht="14.25" x14ac:dyDescent="0.2"/>
    <row r="4534" s="238" customFormat="1" ht="14.25" x14ac:dyDescent="0.2"/>
    <row r="4535" s="238" customFormat="1" ht="14.25" x14ac:dyDescent="0.2"/>
    <row r="4536" s="238" customFormat="1" ht="14.25" x14ac:dyDescent="0.2"/>
    <row r="4537" s="238" customFormat="1" ht="14.25" x14ac:dyDescent="0.2"/>
    <row r="4538" s="238" customFormat="1" ht="14.25" x14ac:dyDescent="0.2"/>
    <row r="4539" s="238" customFormat="1" ht="14.25" x14ac:dyDescent="0.2"/>
    <row r="4540" s="238" customFormat="1" ht="14.25" x14ac:dyDescent="0.2"/>
    <row r="4541" s="238" customFormat="1" ht="14.25" x14ac:dyDescent="0.2"/>
    <row r="4542" s="238" customFormat="1" ht="14.25" x14ac:dyDescent="0.2"/>
    <row r="4543" s="238" customFormat="1" ht="14.25" x14ac:dyDescent="0.2"/>
    <row r="4544" s="238" customFormat="1" ht="14.25" x14ac:dyDescent="0.2"/>
    <row r="4545" s="238" customFormat="1" ht="14.25" x14ac:dyDescent="0.2"/>
    <row r="4546" s="238" customFormat="1" ht="14.25" x14ac:dyDescent="0.2"/>
    <row r="4547" s="238" customFormat="1" ht="14.25" x14ac:dyDescent="0.2"/>
    <row r="4548" s="238" customFormat="1" ht="14.25" x14ac:dyDescent="0.2"/>
    <row r="4549" s="238" customFormat="1" ht="14.25" x14ac:dyDescent="0.2"/>
    <row r="4550" s="238" customFormat="1" ht="14.25" x14ac:dyDescent="0.2"/>
    <row r="4551" s="238" customFormat="1" ht="14.25" x14ac:dyDescent="0.2"/>
    <row r="4552" s="238" customFormat="1" ht="14.25" x14ac:dyDescent="0.2"/>
    <row r="4553" s="238" customFormat="1" ht="14.25" x14ac:dyDescent="0.2"/>
    <row r="4554" s="238" customFormat="1" ht="14.25" x14ac:dyDescent="0.2"/>
    <row r="4555" s="238" customFormat="1" ht="14.25" x14ac:dyDescent="0.2"/>
    <row r="4556" s="238" customFormat="1" ht="14.25" x14ac:dyDescent="0.2"/>
    <row r="4557" s="238" customFormat="1" ht="14.25" x14ac:dyDescent="0.2"/>
    <row r="4558" s="238" customFormat="1" ht="14.25" x14ac:dyDescent="0.2"/>
    <row r="4559" s="238" customFormat="1" ht="14.25" x14ac:dyDescent="0.2"/>
    <row r="4560" s="238" customFormat="1" ht="14.25" x14ac:dyDescent="0.2"/>
    <row r="4561" s="238" customFormat="1" ht="14.25" x14ac:dyDescent="0.2"/>
    <row r="4562" s="238" customFormat="1" ht="14.25" x14ac:dyDescent="0.2"/>
    <row r="4563" s="238" customFormat="1" ht="14.25" x14ac:dyDescent="0.2"/>
    <row r="4564" s="238" customFormat="1" ht="14.25" x14ac:dyDescent="0.2"/>
    <row r="4565" s="238" customFormat="1" ht="14.25" x14ac:dyDescent="0.2"/>
    <row r="4566" s="238" customFormat="1" ht="14.25" x14ac:dyDescent="0.2"/>
    <row r="4567" s="238" customFormat="1" ht="14.25" x14ac:dyDescent="0.2"/>
    <row r="4568" s="238" customFormat="1" ht="14.25" x14ac:dyDescent="0.2"/>
    <row r="4569" s="238" customFormat="1" ht="14.25" x14ac:dyDescent="0.2"/>
    <row r="4570" s="238" customFormat="1" ht="14.25" x14ac:dyDescent="0.2"/>
    <row r="4571" s="238" customFormat="1" ht="14.25" x14ac:dyDescent="0.2"/>
    <row r="4572" s="238" customFormat="1" ht="14.25" x14ac:dyDescent="0.2"/>
    <row r="4573" s="238" customFormat="1" ht="14.25" x14ac:dyDescent="0.2"/>
    <row r="4574" s="238" customFormat="1" ht="14.25" x14ac:dyDescent="0.2"/>
    <row r="4575" s="238" customFormat="1" ht="14.25" x14ac:dyDescent="0.2"/>
    <row r="4576" s="238" customFormat="1" ht="14.25" x14ac:dyDescent="0.2"/>
    <row r="4577" s="238" customFormat="1" ht="14.25" x14ac:dyDescent="0.2"/>
    <row r="4578" s="238" customFormat="1" ht="14.25" x14ac:dyDescent="0.2"/>
    <row r="4579" s="238" customFormat="1" ht="14.25" x14ac:dyDescent="0.2"/>
    <row r="4580" s="238" customFormat="1" ht="14.25" x14ac:dyDescent="0.2"/>
    <row r="4581" s="238" customFormat="1" ht="14.25" x14ac:dyDescent="0.2"/>
    <row r="4582" s="238" customFormat="1" ht="14.25" x14ac:dyDescent="0.2"/>
    <row r="4583" s="238" customFormat="1" ht="14.25" x14ac:dyDescent="0.2"/>
    <row r="4584" s="238" customFormat="1" ht="14.25" x14ac:dyDescent="0.2"/>
    <row r="4585" s="238" customFormat="1" ht="14.25" x14ac:dyDescent="0.2"/>
    <row r="4586" s="238" customFormat="1" ht="14.25" x14ac:dyDescent="0.2"/>
    <row r="4587" s="238" customFormat="1" ht="14.25" x14ac:dyDescent="0.2"/>
    <row r="4588" s="238" customFormat="1" ht="14.25" x14ac:dyDescent="0.2"/>
    <row r="4589" s="238" customFormat="1" ht="14.25" x14ac:dyDescent="0.2"/>
    <row r="4590" s="238" customFormat="1" ht="14.25" x14ac:dyDescent="0.2"/>
    <row r="4591" s="238" customFormat="1" ht="14.25" x14ac:dyDescent="0.2"/>
    <row r="4592" s="238" customFormat="1" ht="14.25" x14ac:dyDescent="0.2"/>
    <row r="4593" s="238" customFormat="1" ht="14.25" x14ac:dyDescent="0.2"/>
    <row r="4594" s="238" customFormat="1" ht="14.25" x14ac:dyDescent="0.2"/>
    <row r="4595" s="238" customFormat="1" ht="14.25" x14ac:dyDescent="0.2"/>
    <row r="4596" s="238" customFormat="1" ht="14.25" x14ac:dyDescent="0.2"/>
    <row r="4597" s="238" customFormat="1" ht="14.25" x14ac:dyDescent="0.2"/>
    <row r="4598" s="238" customFormat="1" ht="14.25" x14ac:dyDescent="0.2"/>
    <row r="4599" s="238" customFormat="1" ht="14.25" x14ac:dyDescent="0.2"/>
    <row r="4600" s="238" customFormat="1" ht="14.25" x14ac:dyDescent="0.2"/>
    <row r="4601" s="238" customFormat="1" ht="14.25" x14ac:dyDescent="0.2"/>
    <row r="4602" s="238" customFormat="1" ht="14.25" x14ac:dyDescent="0.2"/>
    <row r="4603" s="238" customFormat="1" ht="14.25" x14ac:dyDescent="0.2"/>
    <row r="4604" s="238" customFormat="1" ht="14.25" x14ac:dyDescent="0.2"/>
    <row r="4605" s="238" customFormat="1" ht="14.25" x14ac:dyDescent="0.2"/>
    <row r="4606" s="238" customFormat="1" ht="14.25" x14ac:dyDescent="0.2"/>
    <row r="4607" s="238" customFormat="1" ht="14.25" x14ac:dyDescent="0.2"/>
    <row r="4608" s="238" customFormat="1" ht="14.25" x14ac:dyDescent="0.2"/>
    <row r="4609" s="238" customFormat="1" ht="14.25" x14ac:dyDescent="0.2"/>
    <row r="4610" s="238" customFormat="1" ht="14.25" x14ac:dyDescent="0.2"/>
    <row r="4611" s="238" customFormat="1" ht="14.25" x14ac:dyDescent="0.2"/>
    <row r="4612" s="238" customFormat="1" ht="14.25" x14ac:dyDescent="0.2"/>
    <row r="4613" s="238" customFormat="1" ht="14.25" x14ac:dyDescent="0.2"/>
    <row r="4614" s="238" customFormat="1" ht="14.25" x14ac:dyDescent="0.2"/>
    <row r="4615" s="238" customFormat="1" ht="14.25" x14ac:dyDescent="0.2"/>
    <row r="4616" s="238" customFormat="1" ht="14.25" x14ac:dyDescent="0.2"/>
    <row r="4617" s="238" customFormat="1" ht="14.25" x14ac:dyDescent="0.2"/>
    <row r="4618" s="238" customFormat="1" ht="14.25" x14ac:dyDescent="0.2"/>
    <row r="4619" s="238" customFormat="1" ht="14.25" x14ac:dyDescent="0.2"/>
    <row r="4620" s="238" customFormat="1" ht="14.25" x14ac:dyDescent="0.2"/>
    <row r="4621" s="238" customFormat="1" ht="14.25" x14ac:dyDescent="0.2"/>
    <row r="4622" s="238" customFormat="1" ht="14.25" x14ac:dyDescent="0.2"/>
    <row r="4623" s="238" customFormat="1" ht="14.25" x14ac:dyDescent="0.2"/>
    <row r="4624" s="238" customFormat="1" ht="14.25" x14ac:dyDescent="0.2"/>
    <row r="4625" s="238" customFormat="1" ht="14.25" x14ac:dyDescent="0.2"/>
    <row r="4626" s="238" customFormat="1" ht="14.25" x14ac:dyDescent="0.2"/>
    <row r="4627" s="238" customFormat="1" ht="14.25" x14ac:dyDescent="0.2"/>
    <row r="4628" s="238" customFormat="1" ht="14.25" x14ac:dyDescent="0.2"/>
    <row r="4629" s="238" customFormat="1" ht="14.25" x14ac:dyDescent="0.2"/>
    <row r="4630" s="238" customFormat="1" ht="14.25" x14ac:dyDescent="0.2"/>
    <row r="4631" s="238" customFormat="1" ht="14.25" x14ac:dyDescent="0.2"/>
    <row r="4632" s="238" customFormat="1" ht="14.25" x14ac:dyDescent="0.2"/>
    <row r="4633" s="238" customFormat="1" ht="14.25" x14ac:dyDescent="0.2"/>
    <row r="4634" s="238" customFormat="1" ht="14.25" x14ac:dyDescent="0.2"/>
    <row r="4635" s="238" customFormat="1" ht="14.25" x14ac:dyDescent="0.2"/>
    <row r="4636" s="238" customFormat="1" ht="14.25" x14ac:dyDescent="0.2"/>
    <row r="4637" s="238" customFormat="1" ht="14.25" x14ac:dyDescent="0.2"/>
    <row r="4638" s="238" customFormat="1" ht="14.25" x14ac:dyDescent="0.2"/>
    <row r="4639" s="238" customFormat="1" ht="14.25" x14ac:dyDescent="0.2"/>
    <row r="4640" s="238" customFormat="1" ht="14.25" x14ac:dyDescent="0.2"/>
    <row r="4641" s="238" customFormat="1" ht="14.25" x14ac:dyDescent="0.2"/>
    <row r="4642" s="238" customFormat="1" ht="14.25" x14ac:dyDescent="0.2"/>
    <row r="4643" s="238" customFormat="1" ht="14.25" x14ac:dyDescent="0.2"/>
    <row r="4644" s="238" customFormat="1" ht="14.25" x14ac:dyDescent="0.2"/>
    <row r="4645" s="238" customFormat="1" ht="14.25" x14ac:dyDescent="0.2"/>
    <row r="4646" s="238" customFormat="1" ht="14.25" x14ac:dyDescent="0.2"/>
    <row r="4647" s="238" customFormat="1" ht="14.25" x14ac:dyDescent="0.2"/>
    <row r="4648" s="238" customFormat="1" ht="14.25" x14ac:dyDescent="0.2"/>
    <row r="4649" s="238" customFormat="1" ht="14.25" x14ac:dyDescent="0.2"/>
    <row r="4650" s="238" customFormat="1" ht="14.25" x14ac:dyDescent="0.2"/>
    <row r="4651" s="238" customFormat="1" ht="14.25" x14ac:dyDescent="0.2"/>
    <row r="4652" s="238" customFormat="1" ht="14.25" x14ac:dyDescent="0.2"/>
    <row r="4653" s="238" customFormat="1" ht="14.25" x14ac:dyDescent="0.2"/>
    <row r="4654" s="238" customFormat="1" ht="14.25" x14ac:dyDescent="0.2"/>
    <row r="4655" s="238" customFormat="1" ht="14.25" x14ac:dyDescent="0.2"/>
    <row r="4656" s="238" customFormat="1" ht="14.25" x14ac:dyDescent="0.2"/>
    <row r="4657" s="238" customFormat="1" ht="14.25" x14ac:dyDescent="0.2"/>
    <row r="4658" s="238" customFormat="1" ht="14.25" x14ac:dyDescent="0.2"/>
    <row r="4659" s="238" customFormat="1" ht="14.25" x14ac:dyDescent="0.2"/>
    <row r="4660" s="238" customFormat="1" ht="14.25" x14ac:dyDescent="0.2"/>
    <row r="4661" s="238" customFormat="1" ht="14.25" x14ac:dyDescent="0.2"/>
    <row r="4662" s="238" customFormat="1" ht="14.25" x14ac:dyDescent="0.2"/>
    <row r="4663" s="238" customFormat="1" ht="14.25" x14ac:dyDescent="0.2"/>
    <row r="4664" s="238" customFormat="1" ht="14.25" x14ac:dyDescent="0.2"/>
    <row r="4665" s="238" customFormat="1" ht="14.25" x14ac:dyDescent="0.2"/>
    <row r="4666" s="238" customFormat="1" ht="14.25" x14ac:dyDescent="0.2"/>
    <row r="4667" s="238" customFormat="1" ht="14.25" x14ac:dyDescent="0.2"/>
    <row r="4668" s="238" customFormat="1" ht="14.25" x14ac:dyDescent="0.2"/>
    <row r="4669" s="238" customFormat="1" ht="14.25" x14ac:dyDescent="0.2"/>
    <row r="4670" s="238" customFormat="1" ht="14.25" x14ac:dyDescent="0.2"/>
    <row r="4671" s="238" customFormat="1" ht="14.25" x14ac:dyDescent="0.2"/>
    <row r="4672" s="238" customFormat="1" ht="14.25" x14ac:dyDescent="0.2"/>
    <row r="4673" s="238" customFormat="1" ht="14.25" x14ac:dyDescent="0.2"/>
    <row r="4674" s="238" customFormat="1" ht="14.25" x14ac:dyDescent="0.2"/>
    <row r="4675" s="238" customFormat="1" ht="14.25" x14ac:dyDescent="0.2"/>
    <row r="4676" s="238" customFormat="1" ht="14.25" x14ac:dyDescent="0.2"/>
    <row r="4677" s="238" customFormat="1" ht="14.25" x14ac:dyDescent="0.2"/>
    <row r="4678" s="238" customFormat="1" ht="14.25" x14ac:dyDescent="0.2"/>
    <row r="4679" s="238" customFormat="1" ht="14.25" x14ac:dyDescent="0.2"/>
    <row r="4680" s="238" customFormat="1" ht="14.25" x14ac:dyDescent="0.2"/>
    <row r="4681" s="238" customFormat="1" ht="14.25" x14ac:dyDescent="0.2"/>
    <row r="4682" s="238" customFormat="1" ht="14.25" x14ac:dyDescent="0.2"/>
    <row r="4683" s="238" customFormat="1" ht="14.25" x14ac:dyDescent="0.2"/>
    <row r="4684" s="238" customFormat="1" ht="14.25" x14ac:dyDescent="0.2"/>
    <row r="4685" s="238" customFormat="1" ht="14.25" x14ac:dyDescent="0.2"/>
    <row r="4686" s="238" customFormat="1" ht="14.25" x14ac:dyDescent="0.2"/>
    <row r="4687" s="238" customFormat="1" ht="14.25" x14ac:dyDescent="0.2"/>
    <row r="4688" s="238" customFormat="1" ht="14.25" x14ac:dyDescent="0.2"/>
    <row r="4689" s="238" customFormat="1" ht="14.25" x14ac:dyDescent="0.2"/>
    <row r="4690" s="238" customFormat="1" ht="14.25" x14ac:dyDescent="0.2"/>
    <row r="4691" s="238" customFormat="1" ht="14.25" x14ac:dyDescent="0.2"/>
    <row r="4692" s="238" customFormat="1" ht="14.25" x14ac:dyDescent="0.2"/>
    <row r="4693" s="238" customFormat="1" ht="14.25" x14ac:dyDescent="0.2"/>
    <row r="4694" s="238" customFormat="1" ht="14.25" x14ac:dyDescent="0.2"/>
    <row r="4695" s="238" customFormat="1" ht="14.25" x14ac:dyDescent="0.2"/>
    <row r="4696" s="238" customFormat="1" ht="14.25" x14ac:dyDescent="0.2"/>
    <row r="4697" s="238" customFormat="1" ht="14.25" x14ac:dyDescent="0.2"/>
    <row r="4698" s="238" customFormat="1" ht="14.25" x14ac:dyDescent="0.2"/>
    <row r="4699" s="238" customFormat="1" ht="14.25" x14ac:dyDescent="0.2"/>
    <row r="4700" s="238" customFormat="1" ht="14.25" x14ac:dyDescent="0.2"/>
    <row r="4701" s="238" customFormat="1" ht="14.25" x14ac:dyDescent="0.2"/>
    <row r="4702" s="238" customFormat="1" ht="14.25" x14ac:dyDescent="0.2"/>
    <row r="4703" s="238" customFormat="1" ht="14.25" x14ac:dyDescent="0.2"/>
    <row r="4704" s="238" customFormat="1" ht="14.25" x14ac:dyDescent="0.2"/>
    <row r="4705" s="238" customFormat="1" ht="14.25" x14ac:dyDescent="0.2"/>
    <row r="4706" s="238" customFormat="1" ht="14.25" x14ac:dyDescent="0.2"/>
    <row r="4707" s="238" customFormat="1" ht="14.25" x14ac:dyDescent="0.2"/>
    <row r="4708" s="238" customFormat="1" ht="14.25" x14ac:dyDescent="0.2"/>
    <row r="4709" s="238" customFormat="1" ht="14.25" x14ac:dyDescent="0.2"/>
    <row r="4710" s="238" customFormat="1" ht="14.25" x14ac:dyDescent="0.2"/>
    <row r="4711" s="238" customFormat="1" ht="14.25" x14ac:dyDescent="0.2"/>
    <row r="4712" s="238" customFormat="1" ht="14.25" x14ac:dyDescent="0.2"/>
    <row r="4713" s="238" customFormat="1" ht="14.25" x14ac:dyDescent="0.2"/>
    <row r="4714" s="238" customFormat="1" ht="14.25" x14ac:dyDescent="0.2"/>
    <row r="4715" s="238" customFormat="1" ht="14.25" x14ac:dyDescent="0.2"/>
    <row r="4716" s="238" customFormat="1" ht="14.25" x14ac:dyDescent="0.2"/>
    <row r="4717" s="238" customFormat="1" ht="14.25" x14ac:dyDescent="0.2"/>
    <row r="4718" s="238" customFormat="1" ht="14.25" x14ac:dyDescent="0.2"/>
    <row r="4719" s="238" customFormat="1" ht="14.25" x14ac:dyDescent="0.2"/>
    <row r="4720" s="238" customFormat="1" ht="14.25" x14ac:dyDescent="0.2"/>
    <row r="4721" s="238" customFormat="1" ht="14.25" x14ac:dyDescent="0.2"/>
    <row r="4722" s="238" customFormat="1" ht="14.25" x14ac:dyDescent="0.2"/>
    <row r="4723" s="238" customFormat="1" ht="14.25" x14ac:dyDescent="0.2"/>
    <row r="4724" s="238" customFormat="1" ht="14.25" x14ac:dyDescent="0.2"/>
    <row r="4725" s="238" customFormat="1" ht="14.25" x14ac:dyDescent="0.2"/>
    <row r="4726" s="238" customFormat="1" ht="14.25" x14ac:dyDescent="0.2"/>
    <row r="4727" s="238" customFormat="1" ht="14.25" x14ac:dyDescent="0.2"/>
    <row r="4728" s="238" customFormat="1" ht="14.25" x14ac:dyDescent="0.2"/>
    <row r="4729" s="238" customFormat="1" ht="14.25" x14ac:dyDescent="0.2"/>
    <row r="4730" s="238" customFormat="1" ht="14.25" x14ac:dyDescent="0.2"/>
    <row r="4731" s="238" customFormat="1" ht="14.25" x14ac:dyDescent="0.2"/>
    <row r="4732" s="238" customFormat="1" ht="14.25" x14ac:dyDescent="0.2"/>
    <row r="4733" s="238" customFormat="1" ht="14.25" x14ac:dyDescent="0.2"/>
    <row r="4734" s="238" customFormat="1" ht="14.25" x14ac:dyDescent="0.2"/>
    <row r="4735" s="238" customFormat="1" ht="14.25" x14ac:dyDescent="0.2"/>
    <row r="4736" s="238" customFormat="1" ht="14.25" x14ac:dyDescent="0.2"/>
    <row r="4737" s="238" customFormat="1" ht="14.25" x14ac:dyDescent="0.2"/>
    <row r="4738" s="238" customFormat="1" ht="14.25" x14ac:dyDescent="0.2"/>
    <row r="4739" s="238" customFormat="1" ht="14.25" x14ac:dyDescent="0.2"/>
    <row r="4740" s="238" customFormat="1" ht="14.25" x14ac:dyDescent="0.2"/>
    <row r="4741" s="238" customFormat="1" ht="14.25" x14ac:dyDescent="0.2"/>
    <row r="4742" s="238" customFormat="1" ht="14.25" x14ac:dyDescent="0.2"/>
    <row r="4743" s="238" customFormat="1" ht="14.25" x14ac:dyDescent="0.2"/>
    <row r="4744" s="238" customFormat="1" ht="14.25" x14ac:dyDescent="0.2"/>
    <row r="4745" s="238" customFormat="1" ht="14.25" x14ac:dyDescent="0.2"/>
    <row r="4746" s="238" customFormat="1" ht="14.25" x14ac:dyDescent="0.2"/>
    <row r="4747" s="238" customFormat="1" ht="14.25" x14ac:dyDescent="0.2"/>
    <row r="4748" s="238" customFormat="1" ht="14.25" x14ac:dyDescent="0.2"/>
    <row r="4749" s="238" customFormat="1" ht="14.25" x14ac:dyDescent="0.2"/>
    <row r="4750" s="238" customFormat="1" ht="14.25" x14ac:dyDescent="0.2"/>
    <row r="4751" s="238" customFormat="1" ht="14.25" x14ac:dyDescent="0.2"/>
    <row r="4752" s="238" customFormat="1" ht="14.25" x14ac:dyDescent="0.2"/>
    <row r="4753" s="238" customFormat="1" ht="14.25" x14ac:dyDescent="0.2"/>
    <row r="4754" s="238" customFormat="1" ht="14.25" x14ac:dyDescent="0.2"/>
    <row r="4755" s="238" customFormat="1" ht="14.25" x14ac:dyDescent="0.2"/>
    <row r="4756" s="238" customFormat="1" ht="14.25" x14ac:dyDescent="0.2"/>
    <row r="4757" s="238" customFormat="1" ht="14.25" x14ac:dyDescent="0.2"/>
    <row r="4758" s="238" customFormat="1" ht="14.25" x14ac:dyDescent="0.2"/>
    <row r="4759" s="238" customFormat="1" ht="14.25" x14ac:dyDescent="0.2"/>
    <row r="4760" s="238" customFormat="1" ht="14.25" x14ac:dyDescent="0.2"/>
    <row r="4761" s="238" customFormat="1" ht="14.25" x14ac:dyDescent="0.2"/>
    <row r="4762" s="238" customFormat="1" ht="14.25" x14ac:dyDescent="0.2"/>
    <row r="4763" s="238" customFormat="1" ht="14.25" x14ac:dyDescent="0.2"/>
    <row r="4764" s="238" customFormat="1" ht="14.25" x14ac:dyDescent="0.2"/>
    <row r="4765" s="238" customFormat="1" ht="14.25" x14ac:dyDescent="0.2"/>
    <row r="4766" s="238" customFormat="1" ht="14.25" x14ac:dyDescent="0.2"/>
    <row r="4767" s="238" customFormat="1" ht="14.25" x14ac:dyDescent="0.2"/>
    <row r="4768" s="238" customFormat="1" ht="14.25" x14ac:dyDescent="0.2"/>
    <row r="4769" s="238" customFormat="1" ht="14.25" x14ac:dyDescent="0.2"/>
    <row r="4770" s="238" customFormat="1" ht="14.25" x14ac:dyDescent="0.2"/>
    <row r="4771" s="238" customFormat="1" ht="14.25" x14ac:dyDescent="0.2"/>
    <row r="4772" s="238" customFormat="1" ht="14.25" x14ac:dyDescent="0.2"/>
    <row r="4773" s="238" customFormat="1" ht="14.25" x14ac:dyDescent="0.2"/>
    <row r="4774" s="238" customFormat="1" ht="14.25" x14ac:dyDescent="0.2"/>
    <row r="4775" s="238" customFormat="1" ht="14.25" x14ac:dyDescent="0.2"/>
    <row r="4776" s="238" customFormat="1" ht="14.25" x14ac:dyDescent="0.2"/>
    <row r="4777" s="238" customFormat="1" ht="14.25" x14ac:dyDescent="0.2"/>
    <row r="4778" s="238" customFormat="1" ht="14.25" x14ac:dyDescent="0.2"/>
    <row r="4779" s="238" customFormat="1" ht="14.25" x14ac:dyDescent="0.2"/>
    <row r="4780" s="238" customFormat="1" ht="14.25" x14ac:dyDescent="0.2"/>
    <row r="4781" s="238" customFormat="1" ht="14.25" x14ac:dyDescent="0.2"/>
    <row r="4782" s="238" customFormat="1" ht="14.25" x14ac:dyDescent="0.2"/>
    <row r="4783" s="238" customFormat="1" ht="14.25" x14ac:dyDescent="0.2"/>
    <row r="4784" s="238" customFormat="1" ht="14.25" x14ac:dyDescent="0.2"/>
    <row r="4785" s="238" customFormat="1" ht="14.25" x14ac:dyDescent="0.2"/>
    <row r="4786" s="238" customFormat="1" ht="14.25" x14ac:dyDescent="0.2"/>
    <row r="4787" s="238" customFormat="1" ht="14.25" x14ac:dyDescent="0.2"/>
    <row r="4788" s="238" customFormat="1" ht="14.25" x14ac:dyDescent="0.2"/>
    <row r="4789" s="238" customFormat="1" ht="14.25" x14ac:dyDescent="0.2"/>
    <row r="4790" s="238" customFormat="1" ht="14.25" x14ac:dyDescent="0.2"/>
    <row r="4791" s="238" customFormat="1" ht="14.25" x14ac:dyDescent="0.2"/>
    <row r="4792" s="238" customFormat="1" ht="14.25" x14ac:dyDescent="0.2"/>
    <row r="4793" s="238" customFormat="1" ht="14.25" x14ac:dyDescent="0.2"/>
    <row r="4794" s="238" customFormat="1" ht="14.25" x14ac:dyDescent="0.2"/>
    <row r="4795" s="238" customFormat="1" ht="14.25" x14ac:dyDescent="0.2"/>
    <row r="4796" s="238" customFormat="1" ht="14.25" x14ac:dyDescent="0.2"/>
    <row r="4797" s="238" customFormat="1" ht="14.25" x14ac:dyDescent="0.2"/>
    <row r="4798" s="238" customFormat="1" ht="14.25" x14ac:dyDescent="0.2"/>
    <row r="4799" s="238" customFormat="1" ht="14.25" x14ac:dyDescent="0.2"/>
    <row r="4800" s="238" customFormat="1" ht="14.25" x14ac:dyDescent="0.2"/>
    <row r="4801" s="238" customFormat="1" ht="14.25" x14ac:dyDescent="0.2"/>
    <row r="4802" s="238" customFormat="1" ht="14.25" x14ac:dyDescent="0.2"/>
    <row r="4803" s="238" customFormat="1" ht="14.25" x14ac:dyDescent="0.2"/>
    <row r="4804" s="238" customFormat="1" ht="14.25" x14ac:dyDescent="0.2"/>
    <row r="4805" s="238" customFormat="1" ht="14.25" x14ac:dyDescent="0.2"/>
    <row r="4806" s="238" customFormat="1" ht="14.25" x14ac:dyDescent="0.2"/>
    <row r="4807" s="238" customFormat="1" ht="14.25" x14ac:dyDescent="0.2"/>
    <row r="4808" s="238" customFormat="1" ht="14.25" x14ac:dyDescent="0.2"/>
    <row r="4809" s="238" customFormat="1" ht="14.25" x14ac:dyDescent="0.2"/>
    <row r="4810" s="238" customFormat="1" ht="14.25" x14ac:dyDescent="0.2"/>
    <row r="4811" s="238" customFormat="1" ht="14.25" x14ac:dyDescent="0.2"/>
    <row r="4812" s="238" customFormat="1" ht="14.25" x14ac:dyDescent="0.2"/>
    <row r="4813" s="238" customFormat="1" ht="14.25" x14ac:dyDescent="0.2"/>
    <row r="4814" s="238" customFormat="1" ht="14.25" x14ac:dyDescent="0.2"/>
    <row r="4815" s="238" customFormat="1" ht="14.25" x14ac:dyDescent="0.2"/>
    <row r="4816" s="238" customFormat="1" ht="14.25" x14ac:dyDescent="0.2"/>
    <row r="4817" s="238" customFormat="1" ht="14.25" x14ac:dyDescent="0.2"/>
    <row r="4818" s="238" customFormat="1" ht="14.25" x14ac:dyDescent="0.2"/>
    <row r="4819" s="238" customFormat="1" ht="14.25" x14ac:dyDescent="0.2"/>
    <row r="4820" s="238" customFormat="1" ht="14.25" x14ac:dyDescent="0.2"/>
    <row r="4821" s="238" customFormat="1" ht="14.25" x14ac:dyDescent="0.2"/>
    <row r="4822" s="238" customFormat="1" ht="14.25" x14ac:dyDescent="0.2"/>
    <row r="4823" s="238" customFormat="1" ht="14.25" x14ac:dyDescent="0.2"/>
    <row r="4824" s="238" customFormat="1" ht="14.25" x14ac:dyDescent="0.2"/>
    <row r="4825" s="238" customFormat="1" ht="14.25" x14ac:dyDescent="0.2"/>
    <row r="4826" s="238" customFormat="1" ht="14.25" x14ac:dyDescent="0.2"/>
    <row r="4827" s="238" customFormat="1" ht="14.25" x14ac:dyDescent="0.2"/>
    <row r="4828" s="238" customFormat="1" ht="14.25" x14ac:dyDescent="0.2"/>
    <row r="4829" s="238" customFormat="1" ht="14.25" x14ac:dyDescent="0.2"/>
    <row r="4830" s="238" customFormat="1" ht="14.25" x14ac:dyDescent="0.2"/>
    <row r="4831" s="238" customFormat="1" ht="14.25" x14ac:dyDescent="0.2"/>
    <row r="4832" s="238" customFormat="1" ht="14.25" x14ac:dyDescent="0.2"/>
    <row r="4833" s="238" customFormat="1" ht="14.25" x14ac:dyDescent="0.2"/>
    <row r="4834" s="238" customFormat="1" ht="14.25" x14ac:dyDescent="0.2"/>
    <row r="4835" s="238" customFormat="1" ht="14.25" x14ac:dyDescent="0.2"/>
    <row r="4836" s="238" customFormat="1" ht="14.25" x14ac:dyDescent="0.2"/>
    <row r="4837" s="238" customFormat="1" ht="14.25" x14ac:dyDescent="0.2"/>
    <row r="4838" s="238" customFormat="1" ht="14.25" x14ac:dyDescent="0.2"/>
    <row r="4839" s="238" customFormat="1" ht="14.25" x14ac:dyDescent="0.2"/>
    <row r="4840" s="238" customFormat="1" ht="14.25" x14ac:dyDescent="0.2"/>
    <row r="4841" s="238" customFormat="1" ht="14.25" x14ac:dyDescent="0.2"/>
    <row r="4842" s="238" customFormat="1" ht="14.25" x14ac:dyDescent="0.2"/>
    <row r="4843" s="238" customFormat="1" ht="14.25" x14ac:dyDescent="0.2"/>
    <row r="4844" s="238" customFormat="1" ht="14.25" x14ac:dyDescent="0.2"/>
    <row r="4845" s="238" customFormat="1" ht="14.25" x14ac:dyDescent="0.2"/>
    <row r="4846" s="238" customFormat="1" ht="14.25" x14ac:dyDescent="0.2"/>
    <row r="4847" s="238" customFormat="1" ht="14.25" x14ac:dyDescent="0.2"/>
    <row r="4848" s="238" customFormat="1" ht="14.25" x14ac:dyDescent="0.2"/>
  </sheetData>
  <sheetProtection algorithmName="SHA-512" hashValue="+4ChGmDgnGQxiqyMzkBaVov2h1Z+d7MWoX2Uuok9r1vJuh9V3uXpXBKrVJE+uLIMKaaP/L9SDTLTc1IUHVRmEg==" saltValue="C0i2YP+5X7qlA6t2gtWxYw==" spinCount="100000" sheet="1" objects="1" scenarios="1"/>
  <mergeCells count="31">
    <mergeCell ref="D81:F81"/>
    <mergeCell ref="D84:F84"/>
    <mergeCell ref="C77:F77"/>
    <mergeCell ref="C61:F61"/>
    <mergeCell ref="C45:G45"/>
    <mergeCell ref="D47:G47"/>
    <mergeCell ref="D49:G49"/>
    <mergeCell ref="D51:G51"/>
    <mergeCell ref="C53:G53"/>
    <mergeCell ref="C57:G57"/>
    <mergeCell ref="C59:G59"/>
    <mergeCell ref="D63:G63"/>
    <mergeCell ref="D65:G65"/>
    <mergeCell ref="C76:F76"/>
    <mergeCell ref="C74:G74"/>
    <mergeCell ref="C41:G41"/>
    <mergeCell ref="D67:G67"/>
    <mergeCell ref="D70:G70"/>
    <mergeCell ref="C29:F29"/>
    <mergeCell ref="D15:G15"/>
    <mergeCell ref="C17:G17"/>
    <mergeCell ref="C21:G21"/>
    <mergeCell ref="C23:G23"/>
    <mergeCell ref="C28:G28"/>
    <mergeCell ref="B1:F1"/>
    <mergeCell ref="B2:F2"/>
    <mergeCell ref="C37:G37"/>
    <mergeCell ref="C33:G33"/>
    <mergeCell ref="C39:G39"/>
    <mergeCell ref="E6:G7"/>
    <mergeCell ref="D13:F13"/>
  </mergeCells>
  <hyperlinks>
    <hyperlink ref="C77" r:id="rId1" xr:uid="{00000000-0004-0000-0000-000000000000}"/>
    <hyperlink ref="D84" r:id="rId2" xr:uid="{00000000-0004-0000-0000-000003000000}"/>
    <hyperlink ref="D81" r:id="rId3" xr:uid="{00000000-0004-0000-0000-000004000000}"/>
    <hyperlink ref="C23:G23" r:id="rId4" display="to learn more, or contact rates@colorado.edu to engage with us in dialogue.  We would be happy to partner" xr:uid="{00000000-0004-0000-0000-000007000000}"/>
    <hyperlink ref="D68" r:id="rId5" xr:uid="{792F7FBA-AFCE-4A42-A903-B7BDA75C539C}"/>
    <hyperlink ref="F22" r:id="rId6" display="uccs-controllers-office/frequently-asked-questions/internal-sales-activity-rate" xr:uid="{FE5DF84F-527C-45BB-8D5F-216A6A873EC3}"/>
    <hyperlink ref="C29" r:id="rId7" xr:uid="{45BB85B4-3BB6-48F6-81F9-7217B2CE060E}"/>
  </hyperlinks>
  <printOptions horizontalCentered="1"/>
  <pageMargins left="0.25" right="0.25" top="0.75" bottom="0.75" header="0.3" footer="0.3"/>
  <pageSetup fitToHeight="0" orientation="portrait" r:id="rId8"/>
  <headerFooter alignWithMargins="0"/>
  <ignoredErrors>
    <ignoredError sqref="C6 C13:C15 C51 C70 C47 C49 C63 C65 C6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39997558519241921"/>
    <pageSetUpPr fitToPage="1"/>
  </sheetPr>
  <dimension ref="B1:X47"/>
  <sheetViews>
    <sheetView showGridLines="0" topLeftCell="A16" zoomScaleNormal="100" workbookViewId="0">
      <selection activeCell="B21" sqref="B21:O21"/>
    </sheetView>
  </sheetViews>
  <sheetFormatPr defaultColWidth="9.140625" defaultRowHeight="12.75" x14ac:dyDescent="0.2"/>
  <cols>
    <col min="1" max="1" width="0.7109375" style="184" customWidth="1"/>
    <col min="2" max="3" width="7.7109375" style="184" customWidth="1"/>
    <col min="4" max="4" width="8.7109375" style="184" customWidth="1"/>
    <col min="5" max="15" width="7.7109375" style="184" customWidth="1"/>
    <col min="16" max="16" width="0.7109375" style="184" customWidth="1"/>
    <col min="17" max="16384" width="9.140625" style="184"/>
  </cols>
  <sheetData>
    <row r="1" spans="2:24" s="123" customFormat="1" ht="35.25" customHeight="1" x14ac:dyDescent="0.2">
      <c r="B1" s="483" t="str">
        <f>"UCCS "&amp;Control!C6&amp;" Rate-Based Service Activity - Rate Development Certification"</f>
        <v>UCCS FY24 Rate-Based Service Activity - Rate Development Certification</v>
      </c>
      <c r="C1" s="483"/>
      <c r="D1" s="483"/>
      <c r="E1" s="483"/>
      <c r="F1" s="483"/>
      <c r="G1" s="483"/>
      <c r="H1" s="483"/>
      <c r="I1" s="483"/>
      <c r="J1" s="483"/>
      <c r="K1" s="483"/>
      <c r="L1" s="483"/>
      <c r="M1" s="483"/>
      <c r="N1" s="483"/>
      <c r="O1" s="483"/>
    </row>
    <row r="2" spans="2:24" ht="6.75" customHeight="1" x14ac:dyDescent="0.3">
      <c r="B2" s="34"/>
      <c r="E2" s="185"/>
      <c r="F2" s="185"/>
      <c r="G2" s="185"/>
      <c r="H2" s="185"/>
      <c r="L2" s="186"/>
      <c r="M2" s="186"/>
      <c r="N2" s="186"/>
      <c r="O2" s="186"/>
    </row>
    <row r="3" spans="2:24" x14ac:dyDescent="0.2">
      <c r="B3" s="206" t="s">
        <v>167</v>
      </c>
      <c r="E3" s="187"/>
      <c r="F3" s="188"/>
      <c r="G3" s="188"/>
      <c r="H3" s="188"/>
      <c r="I3" s="188"/>
      <c r="J3" s="189"/>
    </row>
    <row r="5" spans="2:24" ht="15.75" x14ac:dyDescent="0.2">
      <c r="B5" s="464" t="s">
        <v>1</v>
      </c>
      <c r="C5" s="464"/>
      <c r="D5" s="464"/>
      <c r="E5" s="464"/>
      <c r="F5" s="230"/>
      <c r="G5" s="230"/>
      <c r="H5" s="230"/>
      <c r="I5" s="190"/>
      <c r="J5" s="464" t="s">
        <v>40</v>
      </c>
      <c r="K5" s="464"/>
      <c r="L5" s="464"/>
      <c r="M5" s="464"/>
      <c r="N5" s="464"/>
      <c r="O5" s="464"/>
      <c r="R5" s="78"/>
      <c r="S5" s="34"/>
      <c r="T5" s="34"/>
      <c r="U5" s="34"/>
      <c r="V5" s="34"/>
      <c r="W5" s="34"/>
      <c r="X5" s="34"/>
    </row>
    <row r="6" spans="2:24" ht="4.5" customHeight="1" x14ac:dyDescent="0.2">
      <c r="B6" s="191"/>
      <c r="C6" s="191"/>
      <c r="D6" s="191"/>
      <c r="E6" s="191"/>
      <c r="F6" s="191"/>
      <c r="G6" s="191"/>
      <c r="H6" s="191"/>
      <c r="I6" s="190"/>
      <c r="J6" s="191"/>
      <c r="K6" s="191"/>
      <c r="L6" s="191"/>
      <c r="M6" s="191"/>
      <c r="N6" s="191"/>
      <c r="O6" s="191"/>
      <c r="R6" s="78"/>
      <c r="S6" s="34"/>
      <c r="T6" s="34"/>
      <c r="U6" s="34"/>
      <c r="V6" s="34"/>
      <c r="W6" s="34"/>
      <c r="X6" s="34"/>
    </row>
    <row r="7" spans="2:24" ht="13.5" customHeight="1" x14ac:dyDescent="0.2">
      <c r="B7" s="192" t="s">
        <v>71</v>
      </c>
      <c r="C7" s="190"/>
      <c r="D7" s="190"/>
      <c r="E7" s="470"/>
      <c r="F7" s="471"/>
      <c r="G7" s="471"/>
      <c r="H7" s="472"/>
      <c r="I7" s="190"/>
      <c r="J7" s="193" t="s">
        <v>2</v>
      </c>
      <c r="K7" s="190"/>
      <c r="L7" s="484"/>
      <c r="M7" s="485"/>
      <c r="N7" s="485"/>
      <c r="O7" s="486"/>
    </row>
    <row r="8" spans="2:24" ht="13.5" customHeight="1" x14ac:dyDescent="0.2">
      <c r="B8" s="193" t="s">
        <v>169</v>
      </c>
      <c r="C8" s="190"/>
      <c r="D8" s="190"/>
      <c r="E8" s="400"/>
      <c r="F8" s="228"/>
      <c r="G8" s="228"/>
      <c r="H8" s="228"/>
      <c r="I8" s="190"/>
      <c r="J8" s="193" t="s">
        <v>3</v>
      </c>
      <c r="K8" s="190"/>
      <c r="L8" s="487"/>
      <c r="M8" s="488"/>
      <c r="N8" s="488"/>
      <c r="O8" s="469"/>
    </row>
    <row r="9" spans="2:24" ht="13.5" customHeight="1" x14ac:dyDescent="0.2">
      <c r="B9" s="192" t="s">
        <v>170</v>
      </c>
      <c r="C9" s="190"/>
      <c r="D9" s="190"/>
      <c r="E9" s="401"/>
      <c r="F9" s="228"/>
      <c r="G9" s="228"/>
      <c r="H9" s="228"/>
      <c r="I9" s="190"/>
      <c r="J9" s="193" t="s">
        <v>4</v>
      </c>
      <c r="K9" s="190"/>
      <c r="L9" s="467"/>
      <c r="M9" s="468"/>
      <c r="N9" s="468"/>
      <c r="O9" s="469"/>
    </row>
    <row r="10" spans="2:24" ht="4.5" customHeight="1" x14ac:dyDescent="0.2">
      <c r="B10" s="192"/>
      <c r="C10" s="190"/>
      <c r="D10" s="190"/>
      <c r="E10" s="194"/>
      <c r="F10" s="194"/>
      <c r="G10" s="194"/>
      <c r="H10" s="194"/>
      <c r="I10" s="190"/>
      <c r="J10" s="193"/>
      <c r="K10" s="190"/>
      <c r="L10" s="195"/>
      <c r="M10" s="195"/>
      <c r="N10" s="195"/>
      <c r="O10" s="196"/>
    </row>
    <row r="11" spans="2:24" ht="15.75" x14ac:dyDescent="0.2">
      <c r="I11" s="190"/>
      <c r="J11" s="464" t="s">
        <v>6</v>
      </c>
      <c r="K11" s="464"/>
      <c r="L11" s="464"/>
      <c r="M11" s="464"/>
      <c r="N11" s="464"/>
      <c r="O11" s="464"/>
    </row>
    <row r="12" spans="2:24" ht="4.5" customHeight="1" x14ac:dyDescent="0.2">
      <c r="B12" s="193"/>
      <c r="C12" s="190"/>
      <c r="D12" s="190"/>
      <c r="E12" s="194"/>
      <c r="F12" s="194"/>
      <c r="G12" s="194"/>
      <c r="H12" s="194"/>
      <c r="I12" s="190"/>
      <c r="J12" s="191"/>
      <c r="K12" s="191"/>
      <c r="L12" s="191"/>
      <c r="M12" s="191"/>
      <c r="N12" s="191"/>
      <c r="O12" s="191"/>
    </row>
    <row r="13" spans="2:24" x14ac:dyDescent="0.2">
      <c r="B13" s="184" t="s">
        <v>62</v>
      </c>
      <c r="E13" s="473"/>
      <c r="F13" s="474"/>
      <c r="G13" s="474"/>
      <c r="H13" s="475"/>
      <c r="I13" s="190"/>
      <c r="J13" s="193" t="s">
        <v>2</v>
      </c>
      <c r="K13" s="190"/>
      <c r="L13" s="484"/>
      <c r="M13" s="485"/>
      <c r="N13" s="485"/>
      <c r="O13" s="486"/>
    </row>
    <row r="14" spans="2:24" x14ac:dyDescent="0.2">
      <c r="B14" s="193" t="s">
        <v>171</v>
      </c>
      <c r="C14" s="190"/>
      <c r="D14" s="190"/>
      <c r="E14" s="476"/>
      <c r="F14" s="477"/>
      <c r="G14" s="229"/>
      <c r="H14" s="229"/>
      <c r="I14" s="190"/>
      <c r="J14" s="193" t="s">
        <v>3</v>
      </c>
      <c r="K14" s="190"/>
      <c r="L14" s="487"/>
      <c r="M14" s="488"/>
      <c r="N14" s="488"/>
      <c r="O14" s="469"/>
    </row>
    <row r="15" spans="2:24" x14ac:dyDescent="0.2">
      <c r="B15" s="197" t="s">
        <v>174</v>
      </c>
      <c r="C15" s="190"/>
      <c r="D15" s="190"/>
      <c r="E15" s="473"/>
      <c r="F15" s="474"/>
      <c r="G15" s="474"/>
      <c r="H15" s="475"/>
      <c r="J15" s="193" t="s">
        <v>4</v>
      </c>
      <c r="K15" s="190"/>
      <c r="L15" s="467"/>
      <c r="M15" s="468"/>
      <c r="N15" s="468"/>
      <c r="O15" s="469"/>
    </row>
    <row r="16" spans="2:24" x14ac:dyDescent="0.2">
      <c r="B16" s="411" t="s">
        <v>244</v>
      </c>
      <c r="C16" s="190"/>
      <c r="D16" s="190"/>
      <c r="E16" s="473"/>
      <c r="F16" s="474"/>
      <c r="G16" s="474"/>
      <c r="H16" s="475"/>
      <c r="J16" s="193"/>
      <c r="K16" s="190"/>
      <c r="L16" s="409"/>
      <c r="M16" s="409"/>
      <c r="N16" s="409"/>
      <c r="O16" s="410"/>
    </row>
    <row r="17" spans="2:24" x14ac:dyDescent="0.2">
      <c r="J17" s="190"/>
      <c r="K17" s="190"/>
      <c r="R17" s="198"/>
      <c r="S17" s="198"/>
      <c r="T17" s="198"/>
      <c r="U17" s="198"/>
      <c r="V17" s="198"/>
      <c r="W17" s="198"/>
      <c r="X17" s="198"/>
    </row>
    <row r="18" spans="2:24" ht="15.75" x14ac:dyDescent="0.25">
      <c r="B18" s="231" t="s">
        <v>168</v>
      </c>
      <c r="C18" s="232"/>
      <c r="D18" s="232"/>
      <c r="E18" s="232"/>
      <c r="F18" s="232"/>
      <c r="G18" s="232"/>
      <c r="H18" s="232"/>
      <c r="I18" s="232"/>
      <c r="J18" s="232"/>
      <c r="K18" s="232"/>
      <c r="L18" s="233"/>
      <c r="M18" s="233"/>
      <c r="N18" s="233"/>
      <c r="O18" s="233"/>
      <c r="P18" s="199"/>
      <c r="Q18" s="199"/>
      <c r="R18" s="198"/>
      <c r="S18" s="198"/>
      <c r="T18" s="198"/>
      <c r="U18" s="198"/>
      <c r="V18" s="198"/>
      <c r="W18" s="198"/>
      <c r="X18" s="198"/>
    </row>
    <row r="19" spans="2:24" ht="4.5" customHeight="1" x14ac:dyDescent="0.25">
      <c r="B19" s="235"/>
      <c r="L19" s="199"/>
      <c r="M19" s="199"/>
      <c r="N19" s="199"/>
      <c r="O19" s="199"/>
      <c r="P19" s="199"/>
      <c r="Q19" s="199"/>
      <c r="R19" s="198"/>
      <c r="S19" s="198"/>
      <c r="T19" s="198"/>
      <c r="U19" s="198"/>
      <c r="V19" s="198"/>
      <c r="W19" s="198"/>
      <c r="X19" s="198"/>
    </row>
    <row r="20" spans="2:24" ht="25.5" customHeight="1" x14ac:dyDescent="0.2">
      <c r="B20" s="478" t="s">
        <v>73</v>
      </c>
      <c r="C20" s="478"/>
      <c r="D20" s="478"/>
      <c r="E20" s="478"/>
      <c r="F20" s="478"/>
      <c r="G20" s="478"/>
      <c r="H20" s="478"/>
      <c r="I20" s="478"/>
      <c r="J20" s="478"/>
      <c r="K20" s="478"/>
      <c r="L20" s="478"/>
      <c r="M20" s="478"/>
      <c r="N20" s="478"/>
      <c r="O20" s="478"/>
      <c r="P20" s="200"/>
      <c r="Q20" s="200"/>
      <c r="R20" s="198"/>
      <c r="S20" s="198"/>
      <c r="T20" s="198"/>
      <c r="U20" s="198"/>
      <c r="V20" s="198"/>
      <c r="W20" s="198"/>
      <c r="X20" s="198"/>
    </row>
    <row r="21" spans="2:24" ht="51" customHeight="1" x14ac:dyDescent="0.2">
      <c r="B21" s="479"/>
      <c r="C21" s="480"/>
      <c r="D21" s="480"/>
      <c r="E21" s="480"/>
      <c r="F21" s="480"/>
      <c r="G21" s="480"/>
      <c r="H21" s="480"/>
      <c r="I21" s="480"/>
      <c r="J21" s="480"/>
      <c r="K21" s="480"/>
      <c r="L21" s="480"/>
      <c r="M21" s="480"/>
      <c r="N21" s="480"/>
      <c r="O21" s="481"/>
      <c r="P21" s="198"/>
      <c r="Q21" s="198"/>
      <c r="R21" s="198"/>
      <c r="S21" s="198"/>
      <c r="T21" s="198"/>
      <c r="U21" s="198"/>
      <c r="V21" s="198"/>
      <c r="W21" s="198"/>
      <c r="X21" s="198"/>
    </row>
    <row r="23" spans="2:24" ht="15.75" x14ac:dyDescent="0.25">
      <c r="B23" s="231" t="s">
        <v>74</v>
      </c>
      <c r="C23" s="232"/>
      <c r="D23" s="232"/>
      <c r="E23" s="232"/>
      <c r="F23" s="232"/>
      <c r="G23" s="232"/>
      <c r="H23" s="232"/>
      <c r="I23" s="232"/>
      <c r="J23" s="232"/>
      <c r="K23" s="232"/>
      <c r="L23" s="233"/>
      <c r="M23" s="233"/>
      <c r="N23" s="233"/>
      <c r="O23" s="233"/>
      <c r="P23" s="199"/>
      <c r="Q23" s="199"/>
      <c r="R23" s="198"/>
      <c r="S23" s="198"/>
      <c r="T23" s="198"/>
      <c r="U23" s="198"/>
      <c r="V23" s="198"/>
      <c r="W23" s="198"/>
      <c r="X23" s="198"/>
    </row>
    <row r="24" spans="2:24" ht="4.5" customHeight="1" x14ac:dyDescent="0.25">
      <c r="B24" s="235"/>
      <c r="L24" s="199"/>
      <c r="M24" s="199"/>
      <c r="N24" s="199"/>
      <c r="O24" s="199"/>
      <c r="P24" s="199"/>
      <c r="Q24" s="199"/>
      <c r="R24" s="198"/>
      <c r="S24" s="198"/>
      <c r="T24" s="198"/>
      <c r="U24" s="198"/>
      <c r="V24" s="198"/>
      <c r="W24" s="198"/>
      <c r="X24" s="198"/>
    </row>
    <row r="25" spans="2:24" ht="45" customHeight="1" x14ac:dyDescent="0.2">
      <c r="B25" s="465" t="s">
        <v>173</v>
      </c>
      <c r="C25" s="466"/>
      <c r="D25" s="466"/>
      <c r="E25" s="466"/>
      <c r="F25" s="466"/>
      <c r="G25" s="466"/>
      <c r="H25" s="466"/>
      <c r="I25" s="466"/>
      <c r="J25" s="466"/>
      <c r="K25" s="466"/>
      <c r="L25" s="466"/>
      <c r="M25" s="466"/>
      <c r="N25" s="466"/>
      <c r="O25" s="466"/>
    </row>
    <row r="26" spans="2:24" x14ac:dyDescent="0.2">
      <c r="B26" s="201"/>
      <c r="C26" s="201"/>
      <c r="D26" s="201"/>
      <c r="E26" s="201"/>
      <c r="F26" s="201"/>
      <c r="G26" s="201"/>
      <c r="H26" s="201"/>
      <c r="I26" s="201"/>
      <c r="J26" s="201"/>
      <c r="K26" s="201"/>
      <c r="L26" s="201"/>
      <c r="M26" s="201"/>
      <c r="N26" s="201"/>
      <c r="O26" s="201"/>
    </row>
    <row r="27" spans="2:24" x14ac:dyDescent="0.2">
      <c r="B27" s="227" t="s">
        <v>172</v>
      </c>
      <c r="C27" s="201"/>
      <c r="D27" s="201"/>
      <c r="E27" s="201"/>
      <c r="F27" s="201"/>
      <c r="G27" s="201"/>
      <c r="H27" s="201"/>
      <c r="I27" s="201"/>
      <c r="J27" s="201"/>
      <c r="K27" s="201"/>
      <c r="L27" s="201"/>
      <c r="M27" s="201"/>
      <c r="N27" s="201"/>
      <c r="O27" s="201"/>
    </row>
    <row r="28" spans="2:24" ht="4.5" customHeight="1" x14ac:dyDescent="0.2">
      <c r="B28" s="201"/>
      <c r="C28" s="201"/>
      <c r="D28" s="201"/>
      <c r="E28" s="201"/>
      <c r="F28" s="201"/>
      <c r="G28" s="201"/>
      <c r="H28" s="201"/>
      <c r="I28" s="201"/>
      <c r="J28" s="201"/>
      <c r="K28" s="201"/>
      <c r="L28" s="201"/>
      <c r="M28" s="201"/>
      <c r="N28" s="201"/>
      <c r="O28" s="201"/>
    </row>
    <row r="29" spans="2:24" ht="28.5" customHeight="1" x14ac:dyDescent="0.2">
      <c r="B29" s="460"/>
      <c r="C29" s="463"/>
      <c r="D29" s="463"/>
      <c r="E29" s="463"/>
      <c r="F29" s="461"/>
      <c r="H29" s="462"/>
      <c r="I29" s="463"/>
      <c r="J29" s="463"/>
      <c r="K29" s="463"/>
      <c r="L29" s="461"/>
      <c r="N29" s="460"/>
      <c r="O29" s="461"/>
    </row>
    <row r="30" spans="2:24" ht="12.75" customHeight="1" x14ac:dyDescent="0.2">
      <c r="B30" s="234" t="s">
        <v>183</v>
      </c>
      <c r="C30" s="234"/>
      <c r="D30" s="234"/>
      <c r="E30" s="234"/>
      <c r="H30" s="203" t="s">
        <v>5</v>
      </c>
      <c r="I30" s="203"/>
      <c r="J30" s="203"/>
      <c r="K30" s="203"/>
      <c r="N30" s="234" t="s">
        <v>0</v>
      </c>
      <c r="O30" s="234"/>
    </row>
    <row r="31" spans="2:24" ht="12.75" customHeight="1" x14ac:dyDescent="0.2">
      <c r="B31" s="202"/>
    </row>
    <row r="32" spans="2:24" ht="14.25" x14ac:dyDescent="0.2">
      <c r="B32" s="227" t="s">
        <v>26</v>
      </c>
      <c r="C32" s="204"/>
      <c r="D32" s="204"/>
      <c r="E32" s="204"/>
      <c r="F32" s="204"/>
      <c r="G32" s="204"/>
      <c r="H32" s="204"/>
      <c r="I32" s="204"/>
      <c r="N32" s="204"/>
      <c r="O32" s="204"/>
      <c r="Q32" s="205"/>
    </row>
    <row r="33" spans="2:17" ht="4.5" customHeight="1" x14ac:dyDescent="0.2">
      <c r="B33" s="202"/>
    </row>
    <row r="34" spans="2:17" ht="28.5" customHeight="1" x14ac:dyDescent="0.2">
      <c r="B34" s="460"/>
      <c r="C34" s="463"/>
      <c r="D34" s="463"/>
      <c r="E34" s="463"/>
      <c r="F34" s="461"/>
      <c r="H34" s="460"/>
      <c r="I34" s="463"/>
      <c r="J34" s="463"/>
      <c r="K34" s="463"/>
      <c r="L34" s="461"/>
      <c r="N34" s="460"/>
      <c r="O34" s="461"/>
    </row>
    <row r="35" spans="2:17" ht="12.75" customHeight="1" x14ac:dyDescent="0.2">
      <c r="B35" s="234" t="s">
        <v>183</v>
      </c>
      <c r="C35" s="234"/>
      <c r="D35" s="234"/>
      <c r="E35" s="234"/>
      <c r="H35" s="203" t="s">
        <v>5</v>
      </c>
      <c r="I35" s="203"/>
      <c r="J35" s="203"/>
      <c r="K35" s="203"/>
      <c r="N35" s="234" t="s">
        <v>0</v>
      </c>
      <c r="O35" s="234"/>
    </row>
    <row r="37" spans="2:17" ht="13.5" thickBot="1" x14ac:dyDescent="0.25"/>
    <row r="38" spans="2:17" ht="77.25" customHeight="1" thickBot="1" x14ac:dyDescent="0.25">
      <c r="B38" s="494" t="s">
        <v>322</v>
      </c>
      <c r="C38" s="495"/>
      <c r="D38" s="495"/>
      <c r="E38" s="495"/>
      <c r="F38" s="495"/>
      <c r="G38" s="495"/>
      <c r="H38" s="495"/>
      <c r="I38" s="495"/>
      <c r="J38" s="495"/>
      <c r="K38" s="495"/>
      <c r="L38" s="495"/>
      <c r="M38" s="495"/>
      <c r="N38" s="495"/>
      <c r="O38" s="496"/>
    </row>
    <row r="42" spans="2:17" x14ac:dyDescent="0.2">
      <c r="B42" s="490"/>
      <c r="C42" s="490"/>
      <c r="D42" s="490"/>
      <c r="E42" s="490"/>
      <c r="F42" s="490"/>
      <c r="G42" s="490"/>
      <c r="H42" s="490"/>
      <c r="I42" s="490"/>
      <c r="J42" s="490"/>
      <c r="K42" s="490"/>
      <c r="L42" s="490"/>
      <c r="M42" s="490"/>
      <c r="N42" s="490"/>
      <c r="O42" s="490"/>
      <c r="P42" s="206"/>
      <c r="Q42" s="207"/>
    </row>
    <row r="43" spans="2:17" ht="14.25" x14ac:dyDescent="0.2">
      <c r="B43" s="493"/>
      <c r="C43" s="493"/>
      <c r="D43" s="493"/>
      <c r="E43" s="493"/>
      <c r="F43" s="493"/>
      <c r="G43" s="493"/>
      <c r="H43" s="493"/>
      <c r="I43" s="493"/>
      <c r="J43" s="493"/>
      <c r="K43" s="493"/>
      <c r="L43" s="493"/>
      <c r="M43" s="493"/>
      <c r="N43" s="493"/>
      <c r="O43" s="493"/>
      <c r="P43" s="206"/>
      <c r="Q43" s="207"/>
    </row>
    <row r="44" spans="2:17" ht="14.25" x14ac:dyDescent="0.2">
      <c r="B44" s="491"/>
      <c r="C44" s="491"/>
      <c r="D44" s="491"/>
      <c r="E44" s="491"/>
      <c r="F44" s="491"/>
      <c r="G44" s="491"/>
      <c r="H44" s="491"/>
      <c r="I44" s="491"/>
      <c r="J44" s="491"/>
      <c r="K44" s="491"/>
      <c r="L44" s="491"/>
      <c r="M44" s="491"/>
      <c r="N44" s="491"/>
      <c r="O44" s="491"/>
    </row>
    <row r="45" spans="2:17" ht="14.25" x14ac:dyDescent="0.2">
      <c r="B45" s="492"/>
      <c r="C45" s="492"/>
      <c r="D45" s="492"/>
      <c r="E45" s="492"/>
      <c r="F45" s="492"/>
      <c r="G45" s="492"/>
      <c r="H45" s="492"/>
      <c r="I45" s="492"/>
      <c r="J45" s="492"/>
      <c r="K45" s="492"/>
      <c r="L45" s="492"/>
      <c r="M45" s="492"/>
      <c r="N45" s="492"/>
      <c r="O45" s="492"/>
    </row>
    <row r="46" spans="2:17" ht="14.25" x14ac:dyDescent="0.2">
      <c r="B46" s="489"/>
      <c r="C46" s="489"/>
      <c r="D46" s="489"/>
      <c r="E46" s="489"/>
      <c r="F46" s="489"/>
      <c r="G46" s="489"/>
      <c r="H46" s="489"/>
      <c r="I46" s="489"/>
      <c r="J46" s="489"/>
      <c r="K46" s="489"/>
      <c r="L46" s="489"/>
      <c r="M46" s="489"/>
      <c r="N46" s="489"/>
      <c r="O46" s="489"/>
    </row>
    <row r="47" spans="2:17" ht="14.25" x14ac:dyDescent="0.2">
      <c r="B47" s="482"/>
      <c r="C47" s="482"/>
      <c r="D47" s="482"/>
      <c r="E47" s="482"/>
      <c r="F47" s="482"/>
      <c r="G47" s="482"/>
      <c r="H47" s="482"/>
      <c r="I47" s="482"/>
      <c r="J47" s="482"/>
      <c r="K47" s="482"/>
      <c r="L47" s="482"/>
      <c r="M47" s="482"/>
      <c r="N47" s="482"/>
      <c r="O47" s="482"/>
    </row>
  </sheetData>
  <sheetProtection algorithmName="SHA-512" hashValue="AnygGDQteRlP1goG9u3OprP5eRmLNxFHHCO80ZCQLwrFQz5zjcTZCvgQGhrSK0Ncb/Sq/iT9Y5B0wO9LloplEQ==" saltValue="shEKI5nj8kQ+f7xGV6WNhw==" spinCount="100000" sheet="1" objects="1" scenarios="1"/>
  <mergeCells count="31">
    <mergeCell ref="B47:O47"/>
    <mergeCell ref="B1:O1"/>
    <mergeCell ref="L7:O7"/>
    <mergeCell ref="J5:O5"/>
    <mergeCell ref="L8:O8"/>
    <mergeCell ref="L9:O9"/>
    <mergeCell ref="L13:O13"/>
    <mergeCell ref="L14:O14"/>
    <mergeCell ref="B5:E5"/>
    <mergeCell ref="B46:O46"/>
    <mergeCell ref="B42:O42"/>
    <mergeCell ref="N34:O34"/>
    <mergeCell ref="B44:O44"/>
    <mergeCell ref="B45:O45"/>
    <mergeCell ref="B43:O43"/>
    <mergeCell ref="B38:O38"/>
    <mergeCell ref="J11:O11"/>
    <mergeCell ref="B25:O25"/>
    <mergeCell ref="L15:O15"/>
    <mergeCell ref="E7:H7"/>
    <mergeCell ref="E13:H13"/>
    <mergeCell ref="E14:F14"/>
    <mergeCell ref="B20:O20"/>
    <mergeCell ref="B21:O21"/>
    <mergeCell ref="E15:H15"/>
    <mergeCell ref="E16:H16"/>
    <mergeCell ref="N29:O29"/>
    <mergeCell ref="H29:L29"/>
    <mergeCell ref="H34:L34"/>
    <mergeCell ref="B29:F29"/>
    <mergeCell ref="B34:F34"/>
  </mergeCells>
  <printOptions horizontalCentered="1"/>
  <pageMargins left="0.7" right="0.7" top="0.75" bottom="0.75" header="0.3" footer="0.3"/>
  <pageSetup scale="85"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6</xdr:col>
                    <xdr:colOff>238125</xdr:colOff>
                    <xdr:row>1</xdr:row>
                    <xdr:rowOff>76200</xdr:rowOff>
                  </from>
                  <to>
                    <xdr:col>9</xdr:col>
                    <xdr:colOff>342900</xdr:colOff>
                    <xdr:row>3</xdr:row>
                    <xdr:rowOff>19050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4</xdr:col>
                    <xdr:colOff>152400</xdr:colOff>
                    <xdr:row>1</xdr:row>
                    <xdr:rowOff>66675</xdr:rowOff>
                  </from>
                  <to>
                    <xdr:col>6</xdr:col>
                    <xdr:colOff>171450</xdr:colOff>
                    <xdr:row>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BD373"/>
  <sheetViews>
    <sheetView showGridLines="0" zoomScaleNormal="100" workbookViewId="0">
      <selection activeCell="N116" sqref="N116:S116"/>
    </sheetView>
  </sheetViews>
  <sheetFormatPr defaultColWidth="9.140625" defaultRowHeight="12.75" x14ac:dyDescent="0.2"/>
  <cols>
    <col min="1" max="1" width="0.7109375" style="7" customWidth="1"/>
    <col min="2" max="2" width="8.28515625" style="7" customWidth="1"/>
    <col min="3" max="6" width="7.7109375" style="7" customWidth="1"/>
    <col min="7" max="7" width="7.85546875" style="7" customWidth="1"/>
    <col min="8" max="15" width="7.7109375" style="7" customWidth="1"/>
    <col min="16" max="17" width="7.7109375" style="9" customWidth="1"/>
    <col min="18" max="19" width="7.7109375" style="10" customWidth="1"/>
    <col min="20" max="20" width="0.7109375" style="10" customWidth="1"/>
    <col min="21" max="21" width="2.5703125" style="7" customWidth="1"/>
    <col min="22" max="22" width="36" style="258" customWidth="1"/>
    <col min="23" max="23" width="11.140625" style="258" customWidth="1"/>
    <col min="24" max="24" width="10.85546875" style="258" bestFit="1" customWidth="1"/>
    <col min="25" max="26" width="8.85546875" style="7" customWidth="1"/>
    <col min="27" max="27" width="2.7109375" style="7" customWidth="1"/>
    <col min="28" max="29" width="8.85546875" style="7" customWidth="1"/>
    <col min="30" max="30" width="3.140625" style="7" customWidth="1"/>
    <col min="31" max="32" width="8.85546875" style="7" customWidth="1"/>
    <col min="33" max="53" width="9.140625" style="7"/>
    <col min="54" max="54" width="67.5703125" style="7" customWidth="1"/>
    <col min="55" max="16384" width="9.140625" style="7"/>
  </cols>
  <sheetData>
    <row r="1" spans="1:24" ht="20.25" x14ac:dyDescent="0.2">
      <c r="A1" s="587" t="str">
        <f>"UCCS "&amp;Control!C6&amp;" Rate-Based Service Activity - Rate Development Worksheet"</f>
        <v>UCCS FY24 Rate-Based Service Activity - Rate Development Worksheet</v>
      </c>
      <c r="B1" s="587"/>
      <c r="C1" s="587"/>
      <c r="D1" s="587"/>
      <c r="E1" s="587"/>
      <c r="F1" s="587"/>
      <c r="G1" s="587"/>
      <c r="H1" s="587"/>
      <c r="I1" s="587"/>
      <c r="J1" s="587"/>
      <c r="K1" s="587"/>
      <c r="L1" s="587"/>
      <c r="M1" s="587"/>
      <c r="N1" s="587"/>
      <c r="O1" s="587"/>
      <c r="P1" s="587"/>
      <c r="Q1" s="587"/>
      <c r="R1" s="587"/>
      <c r="S1" s="587"/>
      <c r="T1" s="587"/>
    </row>
    <row r="2" spans="1:24" ht="4.5" customHeight="1" x14ac:dyDescent="0.2">
      <c r="B2" s="8"/>
      <c r="C2" s="8"/>
      <c r="D2" s="8"/>
      <c r="E2" s="8"/>
      <c r="F2" s="8"/>
      <c r="G2" s="8"/>
      <c r="H2" s="8"/>
      <c r="I2" s="8"/>
      <c r="J2" s="8"/>
      <c r="K2" s="8"/>
      <c r="L2" s="8"/>
      <c r="M2" s="8"/>
      <c r="N2" s="8"/>
      <c r="O2" s="8"/>
    </row>
    <row r="3" spans="1:24" ht="15.75" customHeight="1" x14ac:dyDescent="0.2">
      <c r="A3" s="588" t="s">
        <v>186</v>
      </c>
      <c r="B3" s="588"/>
      <c r="C3" s="588"/>
      <c r="D3" s="588"/>
      <c r="E3" s="588"/>
      <c r="F3" s="588"/>
      <c r="G3" s="588"/>
      <c r="H3" s="588"/>
      <c r="I3" s="588"/>
      <c r="J3" s="588"/>
      <c r="K3" s="588"/>
      <c r="L3" s="588"/>
      <c r="M3" s="588"/>
      <c r="N3" s="588"/>
      <c r="O3" s="588"/>
      <c r="P3" s="588"/>
      <c r="Q3" s="588"/>
      <c r="R3" s="588"/>
      <c r="S3" s="588"/>
      <c r="T3" s="588"/>
    </row>
    <row r="4" spans="1:24" ht="4.5" customHeight="1" thickBot="1" x14ac:dyDescent="0.25">
      <c r="B4" s="8"/>
      <c r="C4" s="8"/>
      <c r="D4" s="8"/>
      <c r="E4" s="8"/>
      <c r="F4" s="8"/>
      <c r="G4" s="8"/>
      <c r="H4" s="8"/>
      <c r="I4" s="8"/>
      <c r="J4" s="8"/>
      <c r="K4" s="8"/>
      <c r="L4" s="8"/>
      <c r="M4" s="8"/>
      <c r="N4" s="8"/>
      <c r="O4" s="8"/>
    </row>
    <row r="5" spans="1:24" ht="21.75" customHeight="1" x14ac:dyDescent="0.2">
      <c r="A5" s="408" t="s">
        <v>243</v>
      </c>
      <c r="B5" s="403" t="s">
        <v>236</v>
      </c>
      <c r="C5" s="12" t="str">
        <f>IF(Q5&lt;&gt;"Step Complete","Complete Certification tab first","General Information")</f>
        <v>Complete Certification tab first</v>
      </c>
      <c r="D5" s="12"/>
      <c r="E5" s="12"/>
      <c r="F5" s="12"/>
      <c r="G5" s="12"/>
      <c r="H5" s="12"/>
      <c r="I5" s="12"/>
      <c r="J5" s="12"/>
      <c r="K5" s="12"/>
      <c r="L5" s="12"/>
      <c r="M5" s="12"/>
      <c r="N5" s="12"/>
      <c r="O5" s="12"/>
      <c r="P5" s="12"/>
      <c r="Q5" s="560" t="str">
        <f>IF(AND(L7&lt;&gt;"",ISBLANK(M9)=FALSE),"Step Complete","")</f>
        <v/>
      </c>
      <c r="R5" s="560"/>
      <c r="S5" s="560"/>
      <c r="T5" s="13"/>
      <c r="V5" s="259"/>
      <c r="W5" s="259"/>
      <c r="X5" s="259"/>
    </row>
    <row r="6" spans="1:24" ht="4.5" customHeight="1" x14ac:dyDescent="0.2">
      <c r="A6" s="14"/>
      <c r="B6" s="15"/>
      <c r="C6" s="15"/>
      <c r="D6" s="15"/>
      <c r="E6" s="15"/>
      <c r="F6" s="15"/>
      <c r="G6" s="15"/>
      <c r="H6" s="15"/>
      <c r="I6" s="15"/>
      <c r="J6" s="15"/>
      <c r="K6" s="15"/>
      <c r="L6" s="15"/>
      <c r="M6" s="15"/>
      <c r="N6" s="15"/>
      <c r="O6" s="15"/>
      <c r="P6" s="15"/>
      <c r="Q6" s="16"/>
      <c r="R6" s="16"/>
      <c r="S6" s="16"/>
      <c r="T6" s="17"/>
      <c r="V6" s="259"/>
      <c r="W6" s="259"/>
      <c r="X6" s="259"/>
    </row>
    <row r="7" spans="1:24" ht="13.5" customHeight="1" x14ac:dyDescent="0.2">
      <c r="A7" s="14"/>
      <c r="B7" s="18" t="s">
        <v>72</v>
      </c>
      <c r="C7" s="19" t="str">
        <f>IFERROR(VALUE(MID(L7,2,2)),"")</f>
        <v/>
      </c>
      <c r="E7" s="18" t="s">
        <v>64</v>
      </c>
      <c r="F7" s="19" t="str">
        <f>IF(ISBLANK(Certification!E8),"",Certification!E8)</f>
        <v/>
      </c>
      <c r="H7" s="18" t="s">
        <v>63</v>
      </c>
      <c r="I7" s="19" t="str">
        <f>IF(ISBLANK(Certification!E9),"",Certification!E9)</f>
        <v/>
      </c>
      <c r="K7" s="18" t="s">
        <v>65</v>
      </c>
      <c r="L7" s="630" t="str">
        <f>IF(ISBLANK(Certification!E14),"",Certification!E14)</f>
        <v/>
      </c>
      <c r="M7" s="630"/>
      <c r="P7" s="7"/>
      <c r="Q7" s="7"/>
      <c r="R7" s="7"/>
      <c r="S7" s="7"/>
      <c r="T7" s="20"/>
      <c r="W7" s="259"/>
      <c r="X7" s="259"/>
    </row>
    <row r="8" spans="1:24" ht="4.5" customHeight="1" x14ac:dyDescent="0.2">
      <c r="A8" s="14"/>
      <c r="F8" s="21"/>
      <c r="G8" s="21"/>
      <c r="P8" s="7"/>
      <c r="Q8" s="7"/>
      <c r="R8" s="7"/>
      <c r="S8" s="7"/>
      <c r="T8" s="22"/>
      <c r="W8" s="259"/>
      <c r="X8" s="259"/>
    </row>
    <row r="9" spans="1:24" ht="13.5" customHeight="1" x14ac:dyDescent="0.2">
      <c r="A9" s="14"/>
      <c r="C9" s="18" t="s">
        <v>62</v>
      </c>
      <c r="D9" s="522" t="str">
        <f>IF(ISBLANK(Certification!E13),"",Certification!E13)</f>
        <v/>
      </c>
      <c r="E9" s="522"/>
      <c r="F9" s="522"/>
      <c r="G9" s="522"/>
      <c r="H9" s="522"/>
      <c r="L9" s="18" t="s">
        <v>174</v>
      </c>
      <c r="M9" s="523" t="str">
        <f>IF(ISBLANK(Certification!E15),"",Certification!E15)</f>
        <v/>
      </c>
      <c r="N9" s="524"/>
      <c r="O9" s="524"/>
      <c r="P9" s="524"/>
      <c r="Q9" s="524"/>
      <c r="R9" s="7"/>
      <c r="S9" s="7"/>
      <c r="T9" s="22"/>
      <c r="W9" s="259"/>
      <c r="X9" s="259"/>
    </row>
    <row r="10" spans="1:24" ht="4.5" customHeight="1" x14ac:dyDescent="0.2">
      <c r="A10" s="14"/>
      <c r="C10" s="18"/>
      <c r="D10" s="23"/>
      <c r="E10" s="23"/>
      <c r="F10" s="23"/>
      <c r="G10" s="23"/>
      <c r="H10" s="23"/>
      <c r="L10" s="18"/>
      <c r="M10" s="24"/>
      <c r="N10" s="25"/>
      <c r="O10" s="25"/>
      <c r="P10" s="25"/>
      <c r="Q10" s="25"/>
      <c r="R10" s="7"/>
      <c r="S10" s="7"/>
      <c r="T10" s="22"/>
      <c r="W10" s="259"/>
      <c r="X10" s="259"/>
    </row>
    <row r="11" spans="1:24" ht="13.5" customHeight="1" x14ac:dyDescent="0.2">
      <c r="A11" s="14"/>
      <c r="C11" s="18"/>
      <c r="D11" s="23"/>
      <c r="E11" s="23"/>
      <c r="F11" s="23"/>
      <c r="G11" s="23"/>
      <c r="H11" s="23"/>
      <c r="J11" s="26"/>
      <c r="K11" s="27" t="s">
        <v>120</v>
      </c>
      <c r="L11" s="6" t="s">
        <v>123</v>
      </c>
      <c r="M11" s="28" t="s">
        <v>121</v>
      </c>
      <c r="N11" s="25"/>
      <c r="O11" s="25"/>
      <c r="P11" s="25"/>
      <c r="Q11" s="25"/>
      <c r="R11" s="7"/>
      <c r="S11" s="7"/>
      <c r="T11" s="22"/>
      <c r="W11" s="259"/>
      <c r="X11" s="259"/>
    </row>
    <row r="12" spans="1:24" ht="4.5" customHeight="1" thickBot="1" x14ac:dyDescent="0.25">
      <c r="A12" s="29"/>
      <c r="B12" s="30"/>
      <c r="C12" s="30"/>
      <c r="D12" s="30"/>
      <c r="E12" s="30"/>
      <c r="F12" s="30"/>
      <c r="G12" s="30"/>
      <c r="H12" s="30"/>
      <c r="I12" s="30"/>
      <c r="J12" s="30"/>
      <c r="K12" s="31"/>
      <c r="L12" s="31"/>
      <c r="M12" s="31"/>
      <c r="N12" s="31"/>
      <c r="O12" s="31"/>
      <c r="P12" s="31"/>
      <c r="Q12" s="31"/>
      <c r="R12" s="31"/>
      <c r="S12" s="31"/>
      <c r="T12" s="32"/>
    </row>
    <row r="13" spans="1:24" ht="13.5" customHeight="1" thickBot="1" x14ac:dyDescent="0.25">
      <c r="B13" s="8"/>
      <c r="C13" s="8"/>
      <c r="D13" s="8"/>
      <c r="E13" s="8"/>
      <c r="F13" s="8"/>
      <c r="G13" s="8"/>
      <c r="H13" s="8"/>
      <c r="I13" s="8"/>
      <c r="J13" s="8"/>
      <c r="K13" s="18"/>
      <c r="L13" s="18"/>
      <c r="M13" s="18"/>
      <c r="N13" s="18"/>
      <c r="O13" s="18"/>
      <c r="P13" s="33"/>
      <c r="Q13" s="34"/>
      <c r="R13" s="34"/>
      <c r="S13" s="34"/>
      <c r="T13" s="34"/>
      <c r="V13" s="259"/>
      <c r="W13" s="259"/>
      <c r="X13" s="259"/>
    </row>
    <row r="14" spans="1:24" ht="21.75" customHeight="1" x14ac:dyDescent="0.2">
      <c r="A14" s="408" t="s">
        <v>243</v>
      </c>
      <c r="B14" s="403" t="s">
        <v>237</v>
      </c>
      <c r="C14" s="12" t="str">
        <f>IF(Q5&lt;&gt;"Step Complete","Complete Step 1 first","Sales and Fund Balances History")</f>
        <v>Complete Step 1 first</v>
      </c>
      <c r="D14" s="12"/>
      <c r="E14" s="12"/>
      <c r="F14" s="12"/>
      <c r="G14" s="12"/>
      <c r="H14" s="12" t="str">
        <f>IF(ISBLANK(#REF!),"Complete step 2 before proceeding","")</f>
        <v/>
      </c>
      <c r="I14" s="12"/>
      <c r="J14" s="12"/>
      <c r="K14" s="12"/>
      <c r="L14" s="12"/>
      <c r="M14" s="12"/>
      <c r="N14" s="12"/>
      <c r="O14" s="12"/>
      <c r="P14" s="12"/>
      <c r="Q14" s="629" t="str">
        <f>IF(AND(ISBLANK(H29)=FALSE,ISBLANK(M29)=FALSE,ISBLANK(R29)=FALSE,ISERROR(SEARCH("required",F58)),ISERROR(SEARCH("required",K58)),ISERROR(SEARCH("required",P58)),Q5="Step Complete"),"Step Complete","")</f>
        <v/>
      </c>
      <c r="R14" s="629"/>
      <c r="S14" s="629"/>
      <c r="T14" s="13"/>
      <c r="V14" s="259"/>
      <c r="W14" s="259"/>
      <c r="X14" s="259"/>
    </row>
    <row r="15" spans="1:24" ht="6.75" customHeight="1" x14ac:dyDescent="0.2">
      <c r="A15" s="14"/>
      <c r="B15" s="642" t="s">
        <v>187</v>
      </c>
      <c r="C15" s="642"/>
      <c r="D15" s="642"/>
      <c r="E15" s="642"/>
      <c r="F15" s="15"/>
      <c r="G15" s="15"/>
      <c r="H15" s="15"/>
      <c r="I15" s="15"/>
      <c r="J15" s="15"/>
      <c r="K15" s="15"/>
      <c r="L15" s="15"/>
      <c r="M15" s="15"/>
      <c r="N15" s="15"/>
      <c r="O15" s="15"/>
      <c r="P15" s="15"/>
      <c r="Q15" s="15"/>
      <c r="R15" s="15"/>
      <c r="S15" s="15"/>
      <c r="T15" s="17"/>
      <c r="V15" s="259"/>
      <c r="W15" s="259"/>
      <c r="X15" s="259"/>
    </row>
    <row r="16" spans="1:24" ht="13.5" customHeight="1" x14ac:dyDescent="0.2">
      <c r="A16" s="14"/>
      <c r="B16" s="642"/>
      <c r="C16" s="642"/>
      <c r="D16" s="642"/>
      <c r="E16" s="642"/>
      <c r="F16" s="584" t="s">
        <v>80</v>
      </c>
      <c r="G16" s="584"/>
      <c r="H16" s="584"/>
      <c r="I16" s="584"/>
      <c r="K16" s="631" t="s">
        <v>35</v>
      </c>
      <c r="L16" s="631"/>
      <c r="M16" s="631"/>
      <c r="N16" s="631"/>
      <c r="P16" s="631" t="s">
        <v>35</v>
      </c>
      <c r="Q16" s="631"/>
      <c r="R16" s="631"/>
      <c r="S16" s="631"/>
      <c r="T16" s="35"/>
      <c r="V16" s="260"/>
      <c r="W16" s="259"/>
      <c r="X16" s="259"/>
    </row>
    <row r="17" spans="1:24" ht="13.5" customHeight="1" x14ac:dyDescent="0.2">
      <c r="A17" s="14"/>
      <c r="B17" s="642"/>
      <c r="C17" s="642"/>
      <c r="D17" s="642"/>
      <c r="E17" s="642"/>
      <c r="F17" s="590" t="str">
        <f>Control!$C$6</f>
        <v>FY24</v>
      </c>
      <c r="G17" s="590"/>
      <c r="H17" s="590"/>
      <c r="I17" s="590"/>
      <c r="K17" s="590" t="str">
        <f>Control!$C$7</f>
        <v>FY23</v>
      </c>
      <c r="L17" s="590"/>
      <c r="M17" s="590"/>
      <c r="N17" s="590"/>
      <c r="P17" s="590" t="str">
        <f>Control!$C$8</f>
        <v>FY22</v>
      </c>
      <c r="Q17" s="590"/>
      <c r="R17" s="590"/>
      <c r="S17" s="590"/>
      <c r="T17" s="35"/>
      <c r="V17" s="260"/>
      <c r="W17" s="259"/>
      <c r="X17" s="259"/>
    </row>
    <row r="18" spans="1:24" ht="13.5" customHeight="1" x14ac:dyDescent="0.2">
      <c r="A18" s="14"/>
      <c r="B18" s="642"/>
      <c r="C18" s="642"/>
      <c r="D18" s="642"/>
      <c r="E18" s="642"/>
      <c r="F18" s="36" t="str">
        <f>IF(switch="No","Units","$ sales")</f>
        <v>Units</v>
      </c>
      <c r="G18" s="36" t="str">
        <f>IF(switch="No","$/unit","% margin")</f>
        <v>$/unit</v>
      </c>
      <c r="H18" s="564" t="s">
        <v>97</v>
      </c>
      <c r="I18" s="564"/>
      <c r="J18" s="37"/>
      <c r="K18" s="36" t="str">
        <f>IF(switch="No","Units","$ sales")</f>
        <v>Units</v>
      </c>
      <c r="L18" s="36" t="str">
        <f>IF(switch="No","$/unit","% margin")</f>
        <v>$/unit</v>
      </c>
      <c r="M18" s="564" t="s">
        <v>97</v>
      </c>
      <c r="N18" s="564"/>
      <c r="O18" s="37"/>
      <c r="P18" s="36" t="str">
        <f>IF(switch="No","Units","$ sales")</f>
        <v>Units</v>
      </c>
      <c r="Q18" s="36" t="str">
        <f>IF(switch="No","$/unit","% margin")</f>
        <v>$/unit</v>
      </c>
      <c r="R18" s="564" t="s">
        <v>97</v>
      </c>
      <c r="S18" s="564"/>
      <c r="T18" s="38"/>
      <c r="V18" s="260"/>
      <c r="W18" s="259"/>
      <c r="X18" s="259"/>
    </row>
    <row r="19" spans="1:24" ht="13.5" customHeight="1" x14ac:dyDescent="0.2">
      <c r="A19" s="14"/>
      <c r="B19" s="536" t="s">
        <v>110</v>
      </c>
      <c r="C19" s="536"/>
      <c r="D19" s="536"/>
      <c r="E19" s="536"/>
      <c r="F19" s="39"/>
      <c r="G19" s="40"/>
      <c r="H19" s="565">
        <f>M56</f>
        <v>0</v>
      </c>
      <c r="I19" s="565"/>
      <c r="J19" s="37"/>
      <c r="K19" s="39"/>
      <c r="L19" s="40"/>
      <c r="M19" s="565">
        <f>R56</f>
        <v>0</v>
      </c>
      <c r="N19" s="565"/>
      <c r="O19" s="37"/>
      <c r="P19" s="39"/>
      <c r="Q19" s="40"/>
      <c r="R19" s="640"/>
      <c r="S19" s="641"/>
      <c r="T19" s="38"/>
      <c r="V19" s="260"/>
      <c r="W19" s="259"/>
      <c r="X19" s="259"/>
    </row>
    <row r="20" spans="1:24" ht="4.5" customHeight="1" x14ac:dyDescent="0.2">
      <c r="A20" s="14"/>
      <c r="B20" s="41"/>
      <c r="C20" s="41"/>
      <c r="D20" s="41"/>
      <c r="E20" s="41"/>
      <c r="G20" s="42"/>
      <c r="H20" s="43"/>
      <c r="I20" s="43"/>
      <c r="J20" s="37"/>
      <c r="L20" s="42"/>
      <c r="M20" s="43"/>
      <c r="N20" s="43"/>
      <c r="O20" s="37"/>
      <c r="P20" s="7"/>
      <c r="Q20" s="42"/>
      <c r="R20" s="43"/>
      <c r="S20" s="43"/>
      <c r="T20" s="38"/>
      <c r="V20" s="260"/>
      <c r="W20" s="259"/>
      <c r="X20" s="259"/>
    </row>
    <row r="21" spans="1:24" ht="13.5" customHeight="1" x14ac:dyDescent="0.2">
      <c r="A21" s="14"/>
      <c r="B21" s="536" t="s">
        <v>144</v>
      </c>
      <c r="C21" s="536"/>
      <c r="D21" s="536"/>
      <c r="E21" s="536"/>
      <c r="G21" s="44" t="s">
        <v>98</v>
      </c>
      <c r="H21" s="591"/>
      <c r="I21" s="592"/>
      <c r="J21" s="45"/>
      <c r="L21" s="44" t="s">
        <v>98</v>
      </c>
      <c r="M21" s="591"/>
      <c r="N21" s="592"/>
      <c r="O21" s="45"/>
      <c r="P21" s="7"/>
      <c r="Q21" s="44" t="s">
        <v>98</v>
      </c>
      <c r="R21" s="591"/>
      <c r="S21" s="592"/>
      <c r="T21" s="46"/>
      <c r="V21" s="260"/>
      <c r="W21" s="259"/>
      <c r="X21" s="259"/>
    </row>
    <row r="22" spans="1:24" ht="4.5" customHeight="1" x14ac:dyDescent="0.2">
      <c r="A22" s="14"/>
      <c r="B22" s="41"/>
      <c r="C22" s="41"/>
      <c r="D22" s="41"/>
      <c r="E22" s="41"/>
      <c r="G22" s="42"/>
      <c r="H22" s="47"/>
      <c r="I22" s="47"/>
      <c r="J22" s="37"/>
      <c r="L22" s="42"/>
      <c r="M22" s="47"/>
      <c r="N22" s="47"/>
      <c r="O22" s="37"/>
      <c r="P22" s="7"/>
      <c r="Q22" s="42"/>
      <c r="R22" s="47"/>
      <c r="S22" s="47"/>
      <c r="T22" s="38"/>
      <c r="V22" s="260"/>
      <c r="W22" s="259"/>
      <c r="X22" s="259"/>
    </row>
    <row r="23" spans="1:24" ht="13.5" customHeight="1" x14ac:dyDescent="0.2">
      <c r="A23" s="14"/>
      <c r="B23" s="594" t="s">
        <v>111</v>
      </c>
      <c r="C23" s="595"/>
      <c r="D23" s="595"/>
      <c r="E23" s="595"/>
      <c r="F23" s="398"/>
      <c r="G23" s="180"/>
      <c r="H23" s="566">
        <f>ROUND(F23*G23,2)</f>
        <v>0</v>
      </c>
      <c r="I23" s="566"/>
      <c r="J23" s="48">
        <f>IFERROR(F23/SUM(F$23:F$26),0)</f>
        <v>0</v>
      </c>
      <c r="K23" s="398"/>
      <c r="L23" s="180"/>
      <c r="M23" s="566">
        <f>ROUND(K23*L23,2)</f>
        <v>0</v>
      </c>
      <c r="N23" s="566"/>
      <c r="O23" s="48">
        <f>IFERROR(K23/SUM(K$23:K$26),0)</f>
        <v>0</v>
      </c>
      <c r="P23" s="398"/>
      <c r="Q23" s="180"/>
      <c r="R23" s="566">
        <f>ROUND(P23*Q23,2)</f>
        <v>0</v>
      </c>
      <c r="S23" s="566"/>
      <c r="T23" s="49">
        <f>IFERROR(P23/SUM(P$23:P$26),0)</f>
        <v>0</v>
      </c>
      <c r="V23" s="260"/>
      <c r="W23" s="259"/>
      <c r="X23" s="259"/>
    </row>
    <row r="24" spans="1:24" ht="13.5" customHeight="1" x14ac:dyDescent="0.2">
      <c r="A24" s="14"/>
      <c r="B24" s="579" t="s">
        <v>112</v>
      </c>
      <c r="C24" s="580"/>
      <c r="D24" s="580"/>
      <c r="E24" s="580"/>
      <c r="F24" s="398"/>
      <c r="G24" s="180"/>
      <c r="H24" s="566">
        <f>ROUND(F24*G24,2)</f>
        <v>0</v>
      </c>
      <c r="I24" s="566"/>
      <c r="J24" s="48">
        <f t="shared" ref="J24:J26" si="0">IFERROR(F24/SUM(F$23:F$26),0)</f>
        <v>0</v>
      </c>
      <c r="K24" s="398"/>
      <c r="L24" s="180"/>
      <c r="M24" s="566">
        <f>ROUND(K24*L24,2)</f>
        <v>0</v>
      </c>
      <c r="N24" s="566"/>
      <c r="O24" s="48">
        <f t="shared" ref="O24:O26" si="1">IFERROR(K24/SUM(K$23:K$26),0)</f>
        <v>0</v>
      </c>
      <c r="P24" s="398"/>
      <c r="Q24" s="180"/>
      <c r="R24" s="566">
        <f>ROUND(P24*Q24,2)</f>
        <v>0</v>
      </c>
      <c r="S24" s="566"/>
      <c r="T24" s="49">
        <f t="shared" ref="T24:T26" si="2">IFERROR(P24/SUM(P$23:P$26),0)</f>
        <v>0</v>
      </c>
      <c r="V24" s="260"/>
      <c r="W24" s="259"/>
      <c r="X24" s="259"/>
    </row>
    <row r="25" spans="1:24" ht="13.5" customHeight="1" x14ac:dyDescent="0.2">
      <c r="A25" s="14"/>
      <c r="B25" s="579" t="s">
        <v>113</v>
      </c>
      <c r="C25" s="580"/>
      <c r="D25" s="580"/>
      <c r="E25" s="580"/>
      <c r="F25" s="398"/>
      <c r="G25" s="180"/>
      <c r="H25" s="566">
        <f>ROUND(F25*G25,2)</f>
        <v>0</v>
      </c>
      <c r="I25" s="566"/>
      <c r="J25" s="48">
        <f t="shared" si="0"/>
        <v>0</v>
      </c>
      <c r="K25" s="398"/>
      <c r="L25" s="180"/>
      <c r="M25" s="566">
        <f>ROUND(K25*L25,2)</f>
        <v>0</v>
      </c>
      <c r="N25" s="566"/>
      <c r="O25" s="48">
        <f t="shared" si="1"/>
        <v>0</v>
      </c>
      <c r="P25" s="398"/>
      <c r="Q25" s="180"/>
      <c r="R25" s="566">
        <f>ROUND(P25*Q25,2)</f>
        <v>0</v>
      </c>
      <c r="S25" s="566"/>
      <c r="T25" s="49">
        <f t="shared" si="2"/>
        <v>0</v>
      </c>
      <c r="V25" s="260"/>
      <c r="W25" s="259"/>
      <c r="X25" s="259"/>
    </row>
    <row r="26" spans="1:24" ht="13.5" customHeight="1" x14ac:dyDescent="0.2">
      <c r="A26" s="14"/>
      <c r="B26" s="579" t="s">
        <v>114</v>
      </c>
      <c r="C26" s="580"/>
      <c r="D26" s="580"/>
      <c r="E26" s="580"/>
      <c r="F26" s="398"/>
      <c r="G26" s="180"/>
      <c r="H26" s="569">
        <f>ROUND(F26*G26,2)</f>
        <v>0</v>
      </c>
      <c r="I26" s="569"/>
      <c r="J26" s="48">
        <f t="shared" si="0"/>
        <v>0</v>
      </c>
      <c r="K26" s="398"/>
      <c r="L26" s="180"/>
      <c r="M26" s="569">
        <f>ROUND(K26*L26,2)</f>
        <v>0</v>
      </c>
      <c r="N26" s="569"/>
      <c r="O26" s="48">
        <f t="shared" si="1"/>
        <v>0</v>
      </c>
      <c r="P26" s="398"/>
      <c r="Q26" s="180"/>
      <c r="R26" s="569">
        <f>ROUND(P26*Q26,2)</f>
        <v>0</v>
      </c>
      <c r="S26" s="569"/>
      <c r="T26" s="49">
        <f t="shared" si="2"/>
        <v>0</v>
      </c>
      <c r="V26" s="260"/>
      <c r="W26" s="259"/>
      <c r="X26" s="259"/>
    </row>
    <row r="27" spans="1:24" ht="13.5" customHeight="1" x14ac:dyDescent="0.2">
      <c r="A27" s="14"/>
      <c r="B27" s="50" t="s">
        <v>115</v>
      </c>
      <c r="C27" s="51"/>
      <c r="D27" s="51"/>
      <c r="E27" s="51"/>
      <c r="F27" s="52"/>
      <c r="G27" s="42"/>
      <c r="H27" s="565">
        <f>SUM(H23:I26)</f>
        <v>0</v>
      </c>
      <c r="I27" s="565"/>
      <c r="J27" s="48"/>
      <c r="K27" s="52"/>
      <c r="L27" s="42"/>
      <c r="M27" s="565">
        <f>SUM(M23:N26)</f>
        <v>0</v>
      </c>
      <c r="N27" s="565"/>
      <c r="O27" s="48"/>
      <c r="P27" s="52"/>
      <c r="Q27" s="42"/>
      <c r="R27" s="565">
        <f>SUM(R23:S26)</f>
        <v>0</v>
      </c>
      <c r="S27" s="565"/>
      <c r="T27" s="49"/>
      <c r="V27" s="260"/>
      <c r="W27" s="259"/>
      <c r="X27" s="259"/>
    </row>
    <row r="28" spans="1:24" ht="4.5" customHeight="1" x14ac:dyDescent="0.2">
      <c r="A28" s="14"/>
      <c r="B28" s="41"/>
      <c r="C28" s="41"/>
      <c r="D28" s="41"/>
      <c r="E28" s="41"/>
      <c r="G28" s="42"/>
      <c r="H28" s="43"/>
      <c r="I28" s="43"/>
      <c r="J28" s="37"/>
      <c r="L28" s="42"/>
      <c r="M28" s="43"/>
      <c r="N28" s="43"/>
      <c r="O28" s="37"/>
      <c r="P28" s="7"/>
      <c r="Q28" s="42"/>
      <c r="R28" s="43"/>
      <c r="S28" s="43"/>
      <c r="T28" s="38"/>
      <c r="V28" s="260"/>
      <c r="W28" s="259"/>
      <c r="X28" s="259"/>
    </row>
    <row r="29" spans="1:24" ht="13.5" customHeight="1" x14ac:dyDescent="0.2">
      <c r="A29" s="14"/>
      <c r="B29" s="536" t="str">
        <f>"Total allowable exps."&amp;IF(switch="No","",", excl. inventory")</f>
        <v>Total allowable exps.</v>
      </c>
      <c r="C29" s="536"/>
      <c r="D29" s="536"/>
      <c r="E29" s="536"/>
      <c r="G29" s="44" t="s">
        <v>146</v>
      </c>
      <c r="H29" s="591"/>
      <c r="I29" s="592"/>
      <c r="J29" s="37"/>
      <c r="L29" s="44" t="s">
        <v>146</v>
      </c>
      <c r="M29" s="591"/>
      <c r="N29" s="592"/>
      <c r="P29" s="7"/>
      <c r="Q29" s="44" t="s">
        <v>146</v>
      </c>
      <c r="R29" s="591"/>
      <c r="S29" s="592"/>
      <c r="T29" s="35"/>
      <c r="V29" s="260"/>
      <c r="W29" s="259"/>
      <c r="X29" s="259"/>
    </row>
    <row r="30" spans="1:24" ht="4.5" customHeight="1" x14ac:dyDescent="0.2">
      <c r="A30" s="14"/>
      <c r="B30" s="41"/>
      <c r="C30" s="41"/>
      <c r="D30" s="41"/>
      <c r="E30" s="41"/>
      <c r="G30" s="53"/>
      <c r="H30" s="47"/>
      <c r="I30" s="47"/>
      <c r="J30" s="37"/>
      <c r="L30" s="53"/>
      <c r="M30" s="47"/>
      <c r="N30" s="47"/>
      <c r="P30" s="7"/>
      <c r="Q30" s="53"/>
      <c r="R30" s="47"/>
      <c r="S30" s="47"/>
      <c r="T30" s="35"/>
      <c r="V30" s="260"/>
      <c r="W30" s="259"/>
      <c r="X30" s="259"/>
    </row>
    <row r="31" spans="1:24" ht="13.5" customHeight="1" x14ac:dyDescent="0.2">
      <c r="A31" s="14"/>
      <c r="B31" s="54" t="s">
        <v>148</v>
      </c>
      <c r="C31" s="55"/>
      <c r="D31" s="55"/>
      <c r="E31" s="55"/>
      <c r="F31" s="56"/>
      <c r="G31" s="56"/>
      <c r="H31" s="56"/>
      <c r="I31" s="56"/>
      <c r="J31" s="57"/>
      <c r="K31" s="56"/>
      <c r="L31" s="58"/>
      <c r="M31" s="56"/>
      <c r="N31" s="56"/>
      <c r="O31" s="56"/>
      <c r="P31" s="56"/>
      <c r="Q31" s="58"/>
      <c r="R31" s="59"/>
      <c r="S31" s="59"/>
      <c r="T31" s="35"/>
      <c r="V31" s="260"/>
      <c r="W31" s="259"/>
      <c r="X31" s="259"/>
    </row>
    <row r="32" spans="1:24" ht="13.5" customHeight="1" x14ac:dyDescent="0.2">
      <c r="A32" s="14"/>
      <c r="B32" s="60" t="s">
        <v>141</v>
      </c>
      <c r="C32" s="55"/>
      <c r="D32" s="55"/>
      <c r="E32" s="55"/>
      <c r="F32" s="56"/>
      <c r="G32" s="58"/>
      <c r="H32" s="632">
        <f>H$19</f>
        <v>0</v>
      </c>
      <c r="I32" s="632"/>
      <c r="J32" s="57"/>
      <c r="K32" s="56"/>
      <c r="L32" s="58"/>
      <c r="M32" s="625">
        <f>M$19</f>
        <v>0</v>
      </c>
      <c r="N32" s="625"/>
      <c r="O32" s="61"/>
      <c r="P32" s="61"/>
      <c r="Q32" s="62"/>
      <c r="R32" s="625">
        <f>R$19</f>
        <v>0</v>
      </c>
      <c r="S32" s="625"/>
      <c r="T32" s="35"/>
      <c r="V32" s="260"/>
      <c r="W32" s="259"/>
      <c r="X32" s="259"/>
    </row>
    <row r="33" spans="1:25" ht="13.5" customHeight="1" x14ac:dyDescent="0.2">
      <c r="A33" s="14"/>
      <c r="B33" s="63" t="s">
        <v>142</v>
      </c>
      <c r="C33" s="55"/>
      <c r="D33" s="55"/>
      <c r="E33" s="55"/>
      <c r="F33" s="626"/>
      <c r="G33" s="626"/>
      <c r="H33" s="586">
        <f>IFERROR(H21+H23-(H29*J23),"")</f>
        <v>0</v>
      </c>
      <c r="I33" s="586"/>
      <c r="J33" s="57"/>
      <c r="K33" s="56"/>
      <c r="L33" s="58"/>
      <c r="M33" s="586">
        <f>IFERROR(M21+M23-(M29*O23),"")</f>
        <v>0</v>
      </c>
      <c r="N33" s="586"/>
      <c r="O33" s="56"/>
      <c r="P33" s="56"/>
      <c r="Q33" s="58"/>
      <c r="R33" s="586">
        <f>IFERROR(R21+R23-(R29*T23),"")</f>
        <v>0</v>
      </c>
      <c r="S33" s="586"/>
      <c r="T33" s="35"/>
      <c r="V33" s="260"/>
      <c r="W33" s="259"/>
      <c r="X33" s="259"/>
    </row>
    <row r="34" spans="1:25" ht="13.5" customHeight="1" x14ac:dyDescent="0.2">
      <c r="A34" s="14"/>
      <c r="B34" s="63" t="s">
        <v>143</v>
      </c>
      <c r="C34" s="55"/>
      <c r="D34" s="55"/>
      <c r="E34" s="55"/>
      <c r="F34" s="56"/>
      <c r="G34" s="58"/>
      <c r="H34" s="586">
        <f>IFERROR(ROUND(H29*-1*SUM(J24:J26)+SUM(H24:H26),0),"")</f>
        <v>0</v>
      </c>
      <c r="I34" s="586"/>
      <c r="J34" s="57"/>
      <c r="K34" s="56"/>
      <c r="L34" s="58"/>
      <c r="M34" s="586">
        <f>IFERROR(ROUND(M29*-1*SUM(O24:O26)+SUM(M24:M26),0),"")</f>
        <v>0</v>
      </c>
      <c r="N34" s="586"/>
      <c r="O34" s="56"/>
      <c r="P34" s="56"/>
      <c r="Q34" s="58"/>
      <c r="R34" s="586">
        <f>IFERROR(ROUND(R29*-1*SUM(T24:T26)+SUM(R24:R26),0),"")</f>
        <v>0</v>
      </c>
      <c r="S34" s="586"/>
      <c r="T34" s="35"/>
      <c r="V34" s="260"/>
      <c r="W34" s="259"/>
      <c r="X34" s="259"/>
    </row>
    <row r="35" spans="1:25" ht="13.5" customHeight="1" x14ac:dyDescent="0.2">
      <c r="A35" s="14"/>
      <c r="B35" s="55" t="s">
        <v>138</v>
      </c>
      <c r="C35" s="55"/>
      <c r="D35" s="55"/>
      <c r="E35" s="55"/>
      <c r="F35" s="627" t="str">
        <f>IFERROR(H35/G$36,"")</f>
        <v/>
      </c>
      <c r="G35" s="627"/>
      <c r="H35" s="570">
        <f>SUM(H32:I34)</f>
        <v>0</v>
      </c>
      <c r="I35" s="570"/>
      <c r="J35" s="57"/>
      <c r="K35" s="627" t="str">
        <f>IFERROR(M35/L$36,"")</f>
        <v/>
      </c>
      <c r="L35" s="627"/>
      <c r="M35" s="570">
        <f>SUM(M32:N34)</f>
        <v>0</v>
      </c>
      <c r="N35" s="570"/>
      <c r="O35" s="64"/>
      <c r="P35" s="627" t="str">
        <f>IFERROR(R35/Q$36,"")</f>
        <v/>
      </c>
      <c r="Q35" s="627"/>
      <c r="R35" s="570">
        <f>SUM(R32:S34)</f>
        <v>0</v>
      </c>
      <c r="S35" s="570"/>
      <c r="T35" s="35"/>
      <c r="V35" s="260"/>
      <c r="W35" s="259"/>
      <c r="X35" s="259"/>
    </row>
    <row r="36" spans="1:25" ht="13.5" hidden="1" customHeight="1" x14ac:dyDescent="0.2">
      <c r="A36" s="65"/>
      <c r="B36" s="66"/>
      <c r="C36" s="66"/>
      <c r="D36" s="66"/>
      <c r="E36" s="66"/>
      <c r="F36" s="67" t="s">
        <v>109</v>
      </c>
      <c r="G36" s="68">
        <f>ROUND(H29*J23/365,2)</f>
        <v>0</v>
      </c>
      <c r="H36" s="69" t="s">
        <v>136</v>
      </c>
      <c r="I36" s="70">
        <f>IFERROR(ROUND((H19+H33)/G36,0),0)</f>
        <v>0</v>
      </c>
      <c r="J36" s="65"/>
      <c r="K36" s="67" t="s">
        <v>109</v>
      </c>
      <c r="L36" s="68">
        <f>ROUND(M29*O23/365,2)</f>
        <v>0</v>
      </c>
      <c r="M36" s="69" t="s">
        <v>136</v>
      </c>
      <c r="N36" s="70">
        <f>IFERROR(ROUND((M19+M33)/L36,0),0)</f>
        <v>0</v>
      </c>
      <c r="O36" s="65"/>
      <c r="P36" s="67" t="s">
        <v>109</v>
      </c>
      <c r="Q36" s="68">
        <f>ROUND(R29*T23/365,2)</f>
        <v>0</v>
      </c>
      <c r="R36" s="69" t="s">
        <v>136</v>
      </c>
      <c r="S36" s="70">
        <f>IFERROR(ROUND((R19+R33)/Q36,0),0)</f>
        <v>0</v>
      </c>
      <c r="T36" s="71"/>
      <c r="V36" s="260"/>
      <c r="W36" s="259"/>
      <c r="X36" s="259"/>
    </row>
    <row r="37" spans="1:25" s="75" customFormat="1" ht="13.5" hidden="1" customHeight="1" x14ac:dyDescent="0.2">
      <c r="A37" s="65"/>
      <c r="B37" s="66" t="s">
        <v>128</v>
      </c>
      <c r="C37" s="66"/>
      <c r="D37" s="67"/>
      <c r="E37" s="67"/>
      <c r="F37" s="67" t="s">
        <v>103</v>
      </c>
      <c r="G37" s="72">
        <f>IFERROR(ROUND(G36*60-H35,0),"")</f>
        <v>0</v>
      </c>
      <c r="H37" s="73" t="s">
        <v>137</v>
      </c>
      <c r="I37" s="74" t="str">
        <f>IF(H34=0,"impossible",IF(H34&lt;0,"required",IF(G37&lt;0,"required",IF(I$36&lt;60,"optional","impossible"))))</f>
        <v>impossible</v>
      </c>
      <c r="J37" s="65"/>
      <c r="K37" s="67" t="s">
        <v>103</v>
      </c>
      <c r="L37" s="72">
        <f>IFERROR(ROUND(L36*60-M35,0),"")</f>
        <v>0</v>
      </c>
      <c r="M37" s="73" t="s">
        <v>137</v>
      </c>
      <c r="N37" s="74" t="str">
        <f>IF(M34=0,"impossible",IF(M34&lt;0,"required",IF(L37&lt;0,"required",IF(N$36&lt;60,"optional","impossible"))))</f>
        <v>impossible</v>
      </c>
      <c r="O37" s="65"/>
      <c r="P37" s="67" t="s">
        <v>103</v>
      </c>
      <c r="Q37" s="72">
        <f>IFERROR(ROUND(Q36*60-R35,0),"")</f>
        <v>0</v>
      </c>
      <c r="R37" s="73" t="s">
        <v>137</v>
      </c>
      <c r="S37" s="74" t="str">
        <f>IF(R34=0,"impossible",IF(R34&lt;0,"required",IF(Q37&lt;0,"required",IF(S$36&lt;60,"optional","impossible"))))</f>
        <v>impossible</v>
      </c>
      <c r="T37" s="71"/>
      <c r="V37" s="261"/>
      <c r="W37" s="262"/>
      <c r="X37" s="262"/>
    </row>
    <row r="38" spans="1:25" s="75" customFormat="1" ht="13.5" hidden="1" customHeight="1" x14ac:dyDescent="0.2">
      <c r="A38" s="65"/>
      <c r="B38" s="66"/>
      <c r="C38" s="66"/>
      <c r="D38" s="67"/>
      <c r="E38" s="67"/>
      <c r="F38" s="67" t="s">
        <v>125</v>
      </c>
      <c r="G38" s="72">
        <f>IF(I37="optional",0,IF(I36&gt;=60,H34,IF(H34&lt;0,H34,IF(ABS(G37)&gt;H34,H34,ABS(G37)))))</f>
        <v>0</v>
      </c>
      <c r="H38" s="67" t="s">
        <v>126</v>
      </c>
      <c r="I38" s="72">
        <f>H34</f>
        <v>0</v>
      </c>
      <c r="J38" s="65"/>
      <c r="K38" s="67" t="s">
        <v>125</v>
      </c>
      <c r="L38" s="72">
        <f>IF(N37="optional",0,IF(N$36&gt;=60,M34,IF(M34&lt;0,M34,IF(ABS(L37)&gt;M34,M34,ABS(L37)))))</f>
        <v>0</v>
      </c>
      <c r="M38" s="67" t="s">
        <v>126</v>
      </c>
      <c r="N38" s="72">
        <f>M34</f>
        <v>0</v>
      </c>
      <c r="O38" s="65"/>
      <c r="P38" s="67" t="s">
        <v>125</v>
      </c>
      <c r="Q38" s="72">
        <f>IF(S37="optional",0,IF(S$36&gt;=60,R34,IF(R34&lt;0,R34,IF(ABS(Q37)&gt;R34,R34,ABS(Q37)))))</f>
        <v>0</v>
      </c>
      <c r="R38" s="67" t="s">
        <v>126</v>
      </c>
      <c r="S38" s="72">
        <f>R34</f>
        <v>0</v>
      </c>
      <c r="T38" s="71"/>
      <c r="V38" s="261"/>
      <c r="W38" s="262"/>
      <c r="X38" s="262"/>
    </row>
    <row r="39" spans="1:25" ht="4.5" customHeight="1" x14ac:dyDescent="0.2">
      <c r="A39" s="14"/>
      <c r="B39" s="41"/>
      <c r="C39" s="41"/>
      <c r="D39" s="41"/>
      <c r="E39" s="41"/>
      <c r="G39" s="42"/>
      <c r="H39" s="47"/>
      <c r="I39" s="47"/>
      <c r="J39" s="37"/>
      <c r="L39" s="42"/>
      <c r="M39" s="47"/>
      <c r="N39" s="47"/>
      <c r="O39" s="37"/>
      <c r="P39" s="7"/>
      <c r="Q39" s="42"/>
      <c r="R39" s="47"/>
      <c r="S39" s="47"/>
      <c r="T39" s="38"/>
      <c r="V39" s="260"/>
      <c r="W39" s="259"/>
      <c r="X39" s="259"/>
    </row>
    <row r="40" spans="1:25" ht="13.5" customHeight="1" x14ac:dyDescent="0.2">
      <c r="A40" s="14"/>
      <c r="B40" s="536" t="s">
        <v>139</v>
      </c>
      <c r="C40" s="536"/>
      <c r="D40" s="536"/>
      <c r="E40" s="536"/>
      <c r="G40" s="53" t="str">
        <f>IFERROR(IF(AND(ISNUMBER(H40),(H40*G38)&gt;0),"change sign","transfer in/(out)"),"")</f>
        <v>transfer in/(out)</v>
      </c>
      <c r="H40" s="527"/>
      <c r="I40" s="527"/>
      <c r="J40" s="76" t="s">
        <v>99</v>
      </c>
      <c r="L40" s="53" t="str">
        <f>IFERROR(IF(AND(ISNUMBER(M40),(M40*L38)&gt;0),"change sign","transfer in/(out)"),"")</f>
        <v>transfer in/(out)</v>
      </c>
      <c r="M40" s="591"/>
      <c r="N40" s="592"/>
      <c r="O40" s="77"/>
      <c r="P40" s="7"/>
      <c r="Q40" s="53" t="str">
        <f>IFERROR(IF(AND(ISNUMBER(R40),(R40*Q38)&gt;0),"change sign","transfer in/(out)"),"")</f>
        <v>transfer in/(out)</v>
      </c>
      <c r="R40" s="591"/>
      <c r="S40" s="592"/>
      <c r="T40" s="46"/>
      <c r="W40" s="263"/>
      <c r="X40" s="259"/>
      <c r="Y40" s="78"/>
    </row>
    <row r="41" spans="1:25" ht="4.5" customHeight="1" x14ac:dyDescent="0.2">
      <c r="A41" s="14"/>
      <c r="B41" s="41"/>
      <c r="C41" s="41"/>
      <c r="D41" s="41"/>
      <c r="E41" s="41"/>
      <c r="G41" s="42"/>
      <c r="H41" s="47"/>
      <c r="I41" s="47"/>
      <c r="J41" s="37"/>
      <c r="L41" s="42"/>
      <c r="M41" s="47"/>
      <c r="N41" s="47"/>
      <c r="O41" s="37"/>
      <c r="P41" s="7"/>
      <c r="Q41" s="42"/>
      <c r="R41" s="47"/>
      <c r="S41" s="47"/>
      <c r="T41" s="38"/>
      <c r="V41" s="260"/>
      <c r="W41" s="259"/>
      <c r="X41" s="259"/>
    </row>
    <row r="42" spans="1:25" ht="13.5" customHeight="1" x14ac:dyDescent="0.2">
      <c r="A42" s="14"/>
      <c r="B42" s="54" t="s">
        <v>149</v>
      </c>
      <c r="C42" s="55"/>
      <c r="D42" s="55"/>
      <c r="E42" s="55"/>
      <c r="F42" s="56"/>
      <c r="G42" s="58"/>
      <c r="H42" s="56"/>
      <c r="I42" s="56"/>
      <c r="J42" s="57"/>
      <c r="K42" s="56"/>
      <c r="L42" s="58"/>
      <c r="M42" s="56"/>
      <c r="N42" s="56"/>
      <c r="O42" s="56"/>
      <c r="P42" s="56"/>
      <c r="Q42" s="58"/>
      <c r="R42" s="56"/>
      <c r="S42" s="56"/>
      <c r="T42" s="35"/>
      <c r="V42" s="260"/>
      <c r="W42" s="259"/>
      <c r="X42" s="259"/>
    </row>
    <row r="43" spans="1:25" ht="13.5" customHeight="1" x14ac:dyDescent="0.2">
      <c r="A43" s="14"/>
      <c r="B43" s="60" t="s">
        <v>141</v>
      </c>
      <c r="C43" s="55"/>
      <c r="D43" s="55"/>
      <c r="E43" s="55"/>
      <c r="F43" s="56"/>
      <c r="G43" s="58"/>
      <c r="H43" s="625">
        <f>H$19</f>
        <v>0</v>
      </c>
      <c r="I43" s="625"/>
      <c r="J43" s="57"/>
      <c r="K43" s="61"/>
      <c r="L43" s="62"/>
      <c r="M43" s="625">
        <f>M$19</f>
        <v>0</v>
      </c>
      <c r="N43" s="625"/>
      <c r="O43" s="61"/>
      <c r="P43" s="61"/>
      <c r="Q43" s="62"/>
      <c r="R43" s="625">
        <f>R$19</f>
        <v>0</v>
      </c>
      <c r="S43" s="625"/>
      <c r="T43" s="35"/>
      <c r="V43" s="260"/>
      <c r="W43" s="259"/>
      <c r="X43" s="259"/>
    </row>
    <row r="44" spans="1:25" ht="13.5" customHeight="1" x14ac:dyDescent="0.2">
      <c r="A44" s="14"/>
      <c r="B44" s="63" t="s">
        <v>142</v>
      </c>
      <c r="C44" s="55"/>
      <c r="D44" s="55"/>
      <c r="E44" s="55"/>
      <c r="F44" s="56"/>
      <c r="G44" s="79"/>
      <c r="H44" s="586">
        <f>H33</f>
        <v>0</v>
      </c>
      <c r="I44" s="586"/>
      <c r="J44" s="57"/>
      <c r="K44" s="56"/>
      <c r="L44" s="58"/>
      <c r="M44" s="586">
        <f>M33</f>
        <v>0</v>
      </c>
      <c r="N44" s="586"/>
      <c r="O44" s="56"/>
      <c r="P44" s="56"/>
      <c r="Q44" s="58"/>
      <c r="R44" s="586">
        <f>R33</f>
        <v>0</v>
      </c>
      <c r="S44" s="586"/>
      <c r="T44" s="38"/>
      <c r="V44" s="260"/>
      <c r="W44" s="259"/>
      <c r="X44" s="259"/>
    </row>
    <row r="45" spans="1:25" ht="13.5" customHeight="1" x14ac:dyDescent="0.2">
      <c r="A45" s="14"/>
      <c r="B45" s="63" t="s">
        <v>143</v>
      </c>
      <c r="C45" s="55"/>
      <c r="D45" s="55"/>
      <c r="E45" s="55"/>
      <c r="F45" s="56"/>
      <c r="G45" s="79"/>
      <c r="H45" s="586">
        <f>IFERROR(ROUND(H34+H40,0),"")</f>
        <v>0</v>
      </c>
      <c r="I45" s="586"/>
      <c r="J45" s="57"/>
      <c r="K45" s="56"/>
      <c r="L45" s="58"/>
      <c r="M45" s="628">
        <f>IFERROR(ROUND(M34+M40,0),"")</f>
        <v>0</v>
      </c>
      <c r="N45" s="628"/>
      <c r="O45" s="56"/>
      <c r="P45" s="56"/>
      <c r="Q45" s="58"/>
      <c r="R45" s="628">
        <f>IFERROR(ROUND(R34+R40,0),"")</f>
        <v>0</v>
      </c>
      <c r="S45" s="628"/>
      <c r="T45" s="38"/>
      <c r="V45" s="260"/>
      <c r="W45" s="259"/>
      <c r="X45" s="259"/>
    </row>
    <row r="46" spans="1:25" ht="13.5" customHeight="1" x14ac:dyDescent="0.2">
      <c r="A46" s="14"/>
      <c r="B46" s="528" t="s">
        <v>140</v>
      </c>
      <c r="C46" s="528"/>
      <c r="D46" s="528"/>
      <c r="E46" s="528"/>
      <c r="F46" s="627" t="str">
        <f>IFERROR(H46/G$36,"")</f>
        <v/>
      </c>
      <c r="G46" s="627"/>
      <c r="H46" s="593">
        <f>SUM(H43:I45)</f>
        <v>0</v>
      </c>
      <c r="I46" s="593"/>
      <c r="J46" s="80"/>
      <c r="K46" s="627" t="str">
        <f>IFERROR(M46/L$36,"")</f>
        <v/>
      </c>
      <c r="L46" s="627"/>
      <c r="M46" s="593">
        <f>SUM(M43:N45)</f>
        <v>0</v>
      </c>
      <c r="N46" s="593"/>
      <c r="O46" s="80"/>
      <c r="P46" s="627" t="str">
        <f>IFERROR(R46/Q$36,"")</f>
        <v/>
      </c>
      <c r="Q46" s="627"/>
      <c r="R46" s="593">
        <f>SUM(R43:S45)</f>
        <v>0</v>
      </c>
      <c r="S46" s="593"/>
      <c r="T46" s="35"/>
      <c r="V46" s="260"/>
      <c r="W46" s="259"/>
      <c r="X46" s="259"/>
    </row>
    <row r="47" spans="1:25" s="75" customFormat="1" ht="13.5" hidden="1" customHeight="1" x14ac:dyDescent="0.2">
      <c r="A47" s="65"/>
      <c r="B47" s="66" t="s">
        <v>129</v>
      </c>
      <c r="C47" s="66"/>
      <c r="D47" s="67"/>
      <c r="E47" s="66"/>
      <c r="F47" s="67" t="s">
        <v>103</v>
      </c>
      <c r="G47" s="72">
        <f>IFERROR(ROUND(G36*60-H46,0),"")</f>
        <v>0</v>
      </c>
      <c r="H47" s="73" t="s">
        <v>127</v>
      </c>
      <c r="I47" s="74" t="str">
        <f>IF(H45=0,"impossible",IF(H45&lt;0,"required",IF(G47&lt;0,"required",IF(I36&lt;60,"optional","impossible"))))</f>
        <v>impossible</v>
      </c>
      <c r="J47" s="65"/>
      <c r="K47" s="67" t="s">
        <v>103</v>
      </c>
      <c r="L47" s="72">
        <f>IFERROR(ROUND(L36*60-M46,0),"")</f>
        <v>0</v>
      </c>
      <c r="M47" s="73" t="s">
        <v>127</v>
      </c>
      <c r="N47" s="74" t="str">
        <f>IF(M45=0,"impossible",IF(M45&lt;0,"required",IF(L47&lt;0,"required",IF(N$36&lt;60,"optional","impossible"))))</f>
        <v>impossible</v>
      </c>
      <c r="O47" s="65"/>
      <c r="P47" s="67" t="s">
        <v>103</v>
      </c>
      <c r="Q47" s="72">
        <f>IFERROR(ROUND(Q36*60-R46,0),"")</f>
        <v>0</v>
      </c>
      <c r="R47" s="73" t="s">
        <v>127</v>
      </c>
      <c r="S47" s="74" t="str">
        <f>IF(R45=0,"impossible",IF(R45&lt;0,"required",IF(Q47&lt;0,"required",IF(S$36&lt;60,"optional","impossible"))))</f>
        <v>impossible</v>
      </c>
      <c r="T47" s="71"/>
      <c r="V47" s="261"/>
      <c r="W47" s="262"/>
      <c r="X47" s="262"/>
    </row>
    <row r="48" spans="1:25" s="75" customFormat="1" ht="13.5" hidden="1" customHeight="1" x14ac:dyDescent="0.2">
      <c r="A48" s="65"/>
      <c r="B48" s="66"/>
      <c r="C48" s="66"/>
      <c r="D48" s="67"/>
      <c r="E48" s="66"/>
      <c r="F48" s="67" t="s">
        <v>125</v>
      </c>
      <c r="G48" s="72">
        <f>IF(I47="optional",0,IF(I36&gt;=60,H45,IF(H45&lt;0,H45,IF(ABS(G47)&gt;H45,H45,ABS(G47)))))</f>
        <v>0</v>
      </c>
      <c r="H48" s="67" t="s">
        <v>126</v>
      </c>
      <c r="I48" s="72">
        <f>H45</f>
        <v>0</v>
      </c>
      <c r="J48" s="65"/>
      <c r="K48" s="67" t="s">
        <v>125</v>
      </c>
      <c r="L48" s="72">
        <f>IF(N47="optional",0,IF(N$36&gt;=60,M45,IF(M45&lt;0,M45,IF(ABS(L47)&gt;M45,M45,ABS(L47)))))</f>
        <v>0</v>
      </c>
      <c r="M48" s="67" t="s">
        <v>126</v>
      </c>
      <c r="N48" s="72">
        <f>M45</f>
        <v>0</v>
      </c>
      <c r="O48" s="65"/>
      <c r="P48" s="67" t="s">
        <v>125</v>
      </c>
      <c r="Q48" s="72">
        <f>IF(S47="optional",0,IF(S$36&gt;=60,R45,IF(R45&lt;0,R45,IF(ABS(Q47)&gt;R45,R45,ABS(Q47)))))</f>
        <v>0</v>
      </c>
      <c r="R48" s="67" t="s">
        <v>126</v>
      </c>
      <c r="S48" s="72">
        <f>R45</f>
        <v>0</v>
      </c>
      <c r="T48" s="71"/>
      <c r="V48" s="261"/>
      <c r="W48" s="262"/>
      <c r="X48" s="262"/>
    </row>
    <row r="49" spans="1:24" ht="4.5" customHeight="1" x14ac:dyDescent="0.2">
      <c r="A49" s="14"/>
      <c r="B49" s="41"/>
      <c r="C49" s="41"/>
      <c r="D49" s="41"/>
      <c r="E49" s="41"/>
      <c r="G49" s="42"/>
      <c r="H49" s="52"/>
      <c r="I49" s="52"/>
      <c r="J49" s="37"/>
      <c r="L49" s="42"/>
      <c r="M49" s="52"/>
      <c r="N49" s="52"/>
      <c r="O49" s="37"/>
      <c r="P49" s="7"/>
      <c r="Q49" s="42"/>
      <c r="R49" s="52"/>
      <c r="S49" s="52"/>
      <c r="T49" s="38"/>
      <c r="V49" s="260"/>
      <c r="W49" s="259"/>
      <c r="X49" s="259"/>
    </row>
    <row r="50" spans="1:24" ht="13.5" customHeight="1" x14ac:dyDescent="0.2">
      <c r="A50" s="14"/>
      <c r="B50" s="536" t="s">
        <v>150</v>
      </c>
      <c r="C50" s="536"/>
      <c r="D50" s="536"/>
      <c r="E50" s="536"/>
      <c r="F50" s="536"/>
      <c r="G50" s="82"/>
      <c r="H50" s="596"/>
      <c r="I50" s="597"/>
      <c r="J50" s="37"/>
      <c r="K50" s="81"/>
      <c r="L50" s="53" t="str">
        <f>IFERROR(IF(AND(ISNUMBER(M50),(M50*L48)&gt;0),"change sign","transfer in/(out)"),"")</f>
        <v>transfer in/(out)</v>
      </c>
      <c r="M50" s="527"/>
      <c r="N50" s="527"/>
      <c r="P50" s="81"/>
      <c r="Q50" s="53" t="str">
        <f>IFERROR(IF(AND(ISNUMBER(R50),(R50*Q48)&gt;0),"change sign","transfer in/(out)"),"")</f>
        <v>transfer in/(out)</v>
      </c>
      <c r="R50" s="527"/>
      <c r="S50" s="527"/>
      <c r="T50" s="35"/>
      <c r="V50" s="260"/>
      <c r="W50" s="259"/>
      <c r="X50" s="259"/>
    </row>
    <row r="51" spans="1:24" ht="4.5" customHeight="1" x14ac:dyDescent="0.2">
      <c r="A51" s="14"/>
      <c r="B51" s="41"/>
      <c r="C51" s="41"/>
      <c r="D51" s="41"/>
      <c r="E51" s="41"/>
      <c r="G51" s="42"/>
      <c r="H51" s="52"/>
      <c r="I51" s="52"/>
      <c r="J51" s="37"/>
      <c r="L51" s="42"/>
      <c r="M51" s="52"/>
      <c r="N51" s="52"/>
      <c r="O51" s="37"/>
      <c r="P51" s="7"/>
      <c r="Q51" s="42"/>
      <c r="R51" s="52"/>
      <c r="S51" s="52"/>
      <c r="T51" s="38"/>
      <c r="V51" s="260"/>
      <c r="W51" s="259"/>
      <c r="X51" s="259"/>
    </row>
    <row r="52" spans="1:24" ht="13.5" customHeight="1" x14ac:dyDescent="0.2">
      <c r="A52" s="14"/>
      <c r="B52" s="54" t="s">
        <v>147</v>
      </c>
      <c r="C52" s="55"/>
      <c r="D52" s="55"/>
      <c r="E52" s="55"/>
      <c r="F52" s="56"/>
      <c r="G52" s="58"/>
      <c r="H52" s="56"/>
      <c r="I52" s="56"/>
      <c r="J52" s="57"/>
      <c r="K52" s="56"/>
      <c r="L52" s="58"/>
      <c r="M52" s="56"/>
      <c r="N52" s="56"/>
      <c r="O52" s="56"/>
      <c r="P52" s="56"/>
      <c r="Q52" s="58"/>
      <c r="R52" s="56"/>
      <c r="S52" s="56"/>
      <c r="T52" s="35"/>
      <c r="V52" s="260"/>
      <c r="W52" s="259"/>
      <c r="X52" s="259"/>
    </row>
    <row r="53" spans="1:24" ht="13.5" customHeight="1" x14ac:dyDescent="0.2">
      <c r="A53" s="14"/>
      <c r="B53" s="60" t="s">
        <v>141</v>
      </c>
      <c r="C53" s="55"/>
      <c r="D53" s="55"/>
      <c r="E53" s="55"/>
      <c r="F53" s="56"/>
      <c r="G53" s="58"/>
      <c r="H53" s="625">
        <f>H$19</f>
        <v>0</v>
      </c>
      <c r="I53" s="625"/>
      <c r="J53" s="57"/>
      <c r="K53" s="56"/>
      <c r="L53" s="58"/>
      <c r="M53" s="625">
        <f>M$19</f>
        <v>0</v>
      </c>
      <c r="N53" s="625"/>
      <c r="O53" s="56"/>
      <c r="P53" s="56"/>
      <c r="Q53" s="58"/>
      <c r="R53" s="625">
        <f>R$19</f>
        <v>0</v>
      </c>
      <c r="S53" s="625"/>
      <c r="T53" s="35"/>
      <c r="V53" s="260"/>
      <c r="W53" s="259"/>
      <c r="X53" s="259"/>
    </row>
    <row r="54" spans="1:24" ht="13.5" customHeight="1" x14ac:dyDescent="0.2">
      <c r="A54" s="14"/>
      <c r="B54" s="63" t="s">
        <v>142</v>
      </c>
      <c r="C54" s="55"/>
      <c r="D54" s="55"/>
      <c r="E54" s="55"/>
      <c r="F54" s="56"/>
      <c r="G54" s="79"/>
      <c r="H54" s="586">
        <f>H44</f>
        <v>0</v>
      </c>
      <c r="I54" s="586"/>
      <c r="J54" s="57"/>
      <c r="K54" s="56"/>
      <c r="L54" s="58"/>
      <c r="M54" s="586">
        <f>M44</f>
        <v>0</v>
      </c>
      <c r="N54" s="586"/>
      <c r="O54" s="56"/>
      <c r="P54" s="56"/>
      <c r="Q54" s="58"/>
      <c r="R54" s="586">
        <f>R44</f>
        <v>0</v>
      </c>
      <c r="S54" s="586"/>
      <c r="T54" s="38"/>
      <c r="V54" s="260"/>
      <c r="W54" s="259"/>
      <c r="X54" s="259"/>
    </row>
    <row r="55" spans="1:24" ht="13.5" customHeight="1" x14ac:dyDescent="0.2">
      <c r="A55" s="14"/>
      <c r="B55" s="63" t="s">
        <v>143</v>
      </c>
      <c r="C55" s="55"/>
      <c r="D55" s="55"/>
      <c r="E55" s="55"/>
      <c r="F55" s="56"/>
      <c r="G55" s="79"/>
      <c r="H55" s="586">
        <f>IFERROR(H45+H50,"")</f>
        <v>0</v>
      </c>
      <c r="I55" s="586"/>
      <c r="J55" s="57"/>
      <c r="K55" s="56"/>
      <c r="L55" s="58"/>
      <c r="M55" s="586">
        <f>IFERROR(M45+M50,"")</f>
        <v>0</v>
      </c>
      <c r="N55" s="586"/>
      <c r="O55" s="56"/>
      <c r="P55" s="56"/>
      <c r="Q55" s="58"/>
      <c r="R55" s="586">
        <f>IFERROR(R45+R50,"")</f>
        <v>0</v>
      </c>
      <c r="S55" s="586"/>
      <c r="T55" s="38"/>
      <c r="V55" s="260"/>
      <c r="W55" s="259"/>
      <c r="X55" s="259"/>
    </row>
    <row r="56" spans="1:24" ht="13.5" customHeight="1" x14ac:dyDescent="0.2">
      <c r="A56" s="14"/>
      <c r="B56" s="55" t="s">
        <v>116</v>
      </c>
      <c r="C56" s="55"/>
      <c r="D56" s="55"/>
      <c r="E56" s="55"/>
      <c r="F56" s="627" t="str">
        <f>IFERROR(H56/G$36,"")</f>
        <v/>
      </c>
      <c r="G56" s="627"/>
      <c r="H56" s="568">
        <f>H46+H50</f>
        <v>0</v>
      </c>
      <c r="I56" s="568"/>
      <c r="J56" s="83"/>
      <c r="K56" s="627" t="str">
        <f>IFERROR(M56/L36,"")</f>
        <v/>
      </c>
      <c r="L56" s="627"/>
      <c r="M56" s="568">
        <f>M46+M50</f>
        <v>0</v>
      </c>
      <c r="N56" s="568"/>
      <c r="O56" s="64"/>
      <c r="P56" s="627" t="str">
        <f>IFERROR(R56/Q36,"")</f>
        <v/>
      </c>
      <c r="Q56" s="627"/>
      <c r="R56" s="568">
        <f>R46+R50</f>
        <v>0</v>
      </c>
      <c r="S56" s="568"/>
      <c r="T56" s="35"/>
      <c r="V56" s="260"/>
      <c r="W56" s="259"/>
      <c r="X56" s="259"/>
    </row>
    <row r="57" spans="1:24" ht="4.5" customHeight="1" x14ac:dyDescent="0.2">
      <c r="A57" s="14"/>
      <c r="B57" s="41"/>
      <c r="C57" s="41"/>
      <c r="D57" s="41"/>
      <c r="E57" s="41"/>
      <c r="P57" s="7"/>
      <c r="Q57" s="7"/>
      <c r="R57" s="7"/>
      <c r="S57" s="7"/>
      <c r="T57" s="35"/>
      <c r="V57" s="260"/>
      <c r="W57" s="259"/>
      <c r="X57" s="259"/>
    </row>
    <row r="58" spans="1:24" s="86" customFormat="1" ht="27" customHeight="1" x14ac:dyDescent="0.2">
      <c r="A58" s="84"/>
      <c r="B58" s="85"/>
      <c r="C58" s="85"/>
      <c r="D58" s="85"/>
      <c r="E58" s="85"/>
      <c r="F58" s="598" t="str">
        <f>IF(ISNUMBER(H40),IF(OR(AND(G38&gt;0,H40*-1&lt;G38),AND(G38&lt;0,H40*-1&gt;I38)),"Choose a transfer of at least "&amp;TEXT((ABS(G38)),"$#,##0;-$#,##0"),IF(OR(AND(G38&gt;0,H40*-1&gt;I38),AND(G38&lt;0,H40*-1&lt;G38)),"Choose a transfer of "&amp;TEXT((ABS(I38)),"$#,##0;-$#,##0")&amp;" or less","")),IFERROR(IF(OR(I37="required",I37="optional"),"Transfer "&amp;IF(G38&lt;0,"in from","out to")&amp;" fund 78 "&amp;I37&amp;": amount "&amp;IF(G38=I38,"should be "&amp;TEXT(ABS(G38),"$#,##0;-$#,##0"),"between "&amp;TEXT(ABS(G38),"$#,##0;-$#,##0")&amp;" and "&amp;TEXT(ABS(I38),"$#,##0;-$#,##0")),""),""))</f>
        <v/>
      </c>
      <c r="G58" s="598"/>
      <c r="H58" s="598"/>
      <c r="I58" s="598"/>
      <c r="K58" s="598" t="str">
        <f>IF(ISNUMBER(M50),IF(OR(AND(L48&gt;0,M50*-1&lt;L48),AND(L48&lt;0,M50*-1&gt;N48)),"Choose a transfer of at least "&amp;TEXT((ABS(L48)),"$#,##0;-$#,##0"),IF(OR(AND(L48&gt;0,M50*-1&gt;N48),AND(L48&lt;0,M50*-1&lt;L48)),"Choose a transfer of "&amp;TEXT((ABS(N48)),"$#,##0;-$#,##0")&amp;" or less","")),IFERROR(IF(OR(N47="required",N47="optional"),"Transfer "&amp;IF(L48&lt;0,"in from","out to")&amp;" fund 78 "&amp;N47&amp;": amount "&amp;IF(L48=N48,"should be "&amp;TEXT(ABS(L48),"$#,##0;-$#,##0"),"between "&amp;TEXT(ABS(L48),"$#,##0;-$#,##0")&amp;" and "&amp;TEXT(ABS(N48),"$#,##0;-$#,##0")),""),""))</f>
        <v/>
      </c>
      <c r="L58" s="598"/>
      <c r="M58" s="598"/>
      <c r="N58" s="598"/>
      <c r="P58" s="598" t="str">
        <f>IF(ISNUMBER(R50),IF(OR(AND(Q48&gt;0,R50*-1&lt;Q48),AND(Q48&lt;0,R50*-1&gt;S48)),"Choose a transfer of at least "&amp;TEXT((ABS(Q48)),"$#,##0;-$#,##0"),IF(OR(AND(Q48&gt;0,R50*-1&gt;S48),AND(Q48&lt;0,R50*-1&lt;Q48)),"Choose a transfer of "&amp;TEXT((ABS(S48)),"$#,##0;-$#,##0")&amp;" or less","")),IFERROR(IF(OR(S47="required",S47="optional"),"Transfer "&amp;IF(Q48&lt;0,"in from","out to")&amp;" fund 78 "&amp;S47&amp;": amount "&amp;IF(Q48=S48,"should be "&amp;TEXT(ABS(Q48),"$#,##0;-$#,##0"),"between "&amp;TEXT(ABS(Q48),"$#,##0;-$#,##0")&amp;" and "&amp;TEXT(ABS(S48),"$#,##0;-$#,##0")),""),""))</f>
        <v/>
      </c>
      <c r="Q58" s="598"/>
      <c r="R58" s="598"/>
      <c r="S58" s="598"/>
      <c r="T58" s="87"/>
      <c r="V58" s="264"/>
      <c r="W58" s="265"/>
      <c r="X58" s="266"/>
    </row>
    <row r="59" spans="1:24" ht="4.5" customHeight="1" thickBot="1" x14ac:dyDescent="0.25">
      <c r="A59" s="29"/>
      <c r="B59" s="30"/>
      <c r="C59" s="30"/>
      <c r="D59" s="30"/>
      <c r="E59" s="30"/>
      <c r="F59" s="30"/>
      <c r="G59" s="30"/>
      <c r="H59" s="30"/>
      <c r="I59" s="30"/>
      <c r="J59" s="30"/>
      <c r="K59" s="30"/>
      <c r="L59" s="30"/>
      <c r="M59" s="30"/>
      <c r="N59" s="30"/>
      <c r="O59" s="30"/>
      <c r="P59" s="88"/>
      <c r="Q59" s="89"/>
      <c r="R59" s="88"/>
      <c r="S59" s="31"/>
      <c r="T59" s="32"/>
    </row>
    <row r="60" spans="1:24" ht="13.5" customHeight="1" thickBot="1" x14ac:dyDescent="0.25">
      <c r="B60" s="8"/>
      <c r="C60" s="8"/>
      <c r="D60" s="8"/>
      <c r="E60" s="8"/>
      <c r="F60" s="8"/>
      <c r="G60" s="8"/>
      <c r="H60" s="8"/>
      <c r="I60" s="8"/>
      <c r="J60" s="8"/>
      <c r="K60" s="18"/>
      <c r="L60" s="18"/>
      <c r="M60" s="18"/>
      <c r="N60" s="18"/>
      <c r="O60" s="18"/>
      <c r="P60" s="33"/>
      <c r="Q60" s="34"/>
      <c r="R60" s="34"/>
      <c r="S60" s="34"/>
      <c r="T60" s="34"/>
      <c r="V60" s="259"/>
      <c r="W60" s="259"/>
      <c r="X60" s="259"/>
    </row>
    <row r="61" spans="1:24" ht="21.75" customHeight="1" x14ac:dyDescent="0.2">
      <c r="A61" s="408" t="s">
        <v>243</v>
      </c>
      <c r="B61" s="403" t="s">
        <v>238</v>
      </c>
      <c r="C61" s="12" t="str">
        <f>IF(Q14="","Complete Step 2 first",Control!C6&amp;" Sales Projections &amp; Customer Types")</f>
        <v>Complete Step 2 first</v>
      </c>
      <c r="D61" s="12"/>
      <c r="E61" s="12"/>
      <c r="F61" s="12"/>
      <c r="G61" s="12"/>
      <c r="H61" s="12"/>
      <c r="I61" s="12"/>
      <c r="J61" s="12"/>
      <c r="K61" s="12"/>
      <c r="L61" s="12"/>
      <c r="M61" s="12"/>
      <c r="N61" s="12"/>
      <c r="O61" s="12"/>
      <c r="P61" s="12"/>
      <c r="Q61" s="560" t="str">
        <f>IF(OR(AND(switch="yes",ISBLANK(F66)),ISBLANK(F64),L65&lt;&gt;"",AND(SUM(L64:S64)=0,SUM(L66:S66)=0),Q14&lt;&gt;"Step Complete"),"","Step Complete")</f>
        <v/>
      </c>
      <c r="R61" s="560"/>
      <c r="S61" s="560"/>
      <c r="T61" s="13"/>
      <c r="V61" s="259"/>
      <c r="W61" s="259"/>
      <c r="X61" s="259"/>
    </row>
    <row r="62" spans="1:24" ht="4.5" customHeight="1" x14ac:dyDescent="0.2">
      <c r="A62" s="14"/>
      <c r="B62" s="90"/>
      <c r="C62" s="90"/>
      <c r="D62" s="90"/>
      <c r="E62" s="90"/>
      <c r="F62" s="90"/>
      <c r="G62" s="90"/>
      <c r="H62" s="90"/>
      <c r="I62" s="90"/>
      <c r="J62" s="90"/>
      <c r="K62" s="90"/>
      <c r="L62" s="90"/>
      <c r="M62" s="90"/>
      <c r="N62" s="90"/>
      <c r="O62" s="90"/>
      <c r="P62" s="90"/>
      <c r="Q62" s="90"/>
      <c r="R62" s="90"/>
      <c r="S62" s="90"/>
      <c r="T62" s="17"/>
      <c r="V62" s="259"/>
      <c r="W62" s="259"/>
      <c r="X62" s="259"/>
    </row>
    <row r="63" spans="1:24" ht="25.5" customHeight="1" x14ac:dyDescent="0.2">
      <c r="A63" s="14"/>
      <c r="D63" s="8"/>
      <c r="E63" s="8"/>
      <c r="H63" s="8"/>
      <c r="I63" s="8"/>
      <c r="J63" s="8"/>
      <c r="L63" s="571" t="s">
        <v>102</v>
      </c>
      <c r="M63" s="571"/>
      <c r="N63" s="571" t="s">
        <v>93</v>
      </c>
      <c r="O63" s="571"/>
      <c r="P63" s="622" t="s">
        <v>94</v>
      </c>
      <c r="Q63" s="622"/>
      <c r="R63" s="622" t="s">
        <v>95</v>
      </c>
      <c r="S63" s="622"/>
      <c r="T63" s="35"/>
      <c r="V63" s="259"/>
      <c r="W63" s="259"/>
      <c r="X63" s="259"/>
    </row>
    <row r="64" spans="1:24" ht="13.5" customHeight="1" x14ac:dyDescent="0.2">
      <c r="A64" s="14"/>
      <c r="B64" s="8"/>
      <c r="C64" s="8"/>
      <c r="E64" s="18" t="str">
        <f>IF(switch="No","Total # of units to be sold:","Total expected inventory sales in $:")</f>
        <v>Total # of units to be sold:</v>
      </c>
      <c r="F64" s="531"/>
      <c r="G64" s="532"/>
      <c r="H64" s="8"/>
      <c r="I64" s="8"/>
      <c r="J64" s="8"/>
      <c r="K64" s="18" t="str">
        <f>"% of sales per customer type:"</f>
        <v>% of sales per customer type:</v>
      </c>
      <c r="L64" s="624"/>
      <c r="M64" s="624"/>
      <c r="N64" s="624"/>
      <c r="O64" s="624"/>
      <c r="P64" s="624"/>
      <c r="Q64" s="624"/>
      <c r="R64" s="637"/>
      <c r="S64" s="638"/>
      <c r="T64" s="35"/>
      <c r="V64" s="267"/>
      <c r="W64" s="259"/>
      <c r="X64" s="259"/>
    </row>
    <row r="65" spans="1:25" ht="13.5" customHeight="1" x14ac:dyDescent="0.2">
      <c r="A65" s="14"/>
      <c r="B65" s="8"/>
      <c r="C65" s="8"/>
      <c r="E65" s="18"/>
      <c r="F65" s="91"/>
      <c r="G65" s="91"/>
      <c r="H65" s="8"/>
      <c r="I65" s="525" t="s">
        <v>104</v>
      </c>
      <c r="J65" s="525"/>
      <c r="K65" s="525"/>
      <c r="L65" s="535" t="str">
        <f>IF(AND(SUM(L64:S64)&gt;0,SUM(L66:S66)&gt;0),"Use % of sales OR # of sales, not both",IF(AND(SUM(L64:S64)&lt;&gt;0,SUM(I64:S64)&lt;&gt;1),"Percentages must total to 100%",IF(AND(SUM(I66:S66)&lt;&gt;0,SUM(L66:S66)&lt;&gt;F64),"Total does not match total # of units listed","")))</f>
        <v/>
      </c>
      <c r="M65" s="535"/>
      <c r="N65" s="535"/>
      <c r="O65" s="535"/>
      <c r="P65" s="535"/>
      <c r="Q65" s="535"/>
      <c r="R65" s="535"/>
      <c r="S65" s="535"/>
      <c r="T65" s="35"/>
      <c r="V65" s="259"/>
      <c r="W65" s="259"/>
      <c r="X65" s="259"/>
    </row>
    <row r="66" spans="1:25" ht="13.5" customHeight="1" x14ac:dyDescent="0.2">
      <c r="A66" s="14"/>
      <c r="B66" s="8"/>
      <c r="C66" s="8"/>
      <c r="E66" s="92" t="str">
        <f>IF(switch="no","","Total inventory purchases, in $")</f>
        <v/>
      </c>
      <c r="F66" s="599"/>
      <c r="G66" s="599"/>
      <c r="H66" s="8"/>
      <c r="I66" s="8"/>
      <c r="J66" s="8"/>
      <c r="K66" s="18" t="str">
        <f>"# of sales per customer type:"</f>
        <v># of sales per customer type:</v>
      </c>
      <c r="L66" s="531"/>
      <c r="M66" s="532"/>
      <c r="N66" s="639"/>
      <c r="O66" s="639"/>
      <c r="P66" s="639"/>
      <c r="Q66" s="639"/>
      <c r="R66" s="531"/>
      <c r="S66" s="532"/>
      <c r="T66" s="35"/>
      <c r="V66" s="259"/>
      <c r="W66" s="259"/>
      <c r="X66" s="259"/>
    </row>
    <row r="67" spans="1:25" ht="13.5" hidden="1" customHeight="1" x14ac:dyDescent="0.2">
      <c r="A67" s="65"/>
      <c r="B67" s="93"/>
      <c r="C67" s="93"/>
      <c r="D67" s="65"/>
      <c r="E67" s="94"/>
      <c r="F67" s="73"/>
      <c r="G67" s="73"/>
      <c r="H67" s="93"/>
      <c r="I67" s="93"/>
      <c r="J67" s="93"/>
      <c r="K67" s="94" t="s">
        <v>105</v>
      </c>
      <c r="L67" s="623" t="str">
        <f>IFERROR(IF(ISNUMBER(L64),L64,IF(ISNUMBER(L66),L66/$F$64,"")),"")</f>
        <v/>
      </c>
      <c r="M67" s="623"/>
      <c r="N67" s="623" t="str">
        <f>IFERROR(IF(ISNUMBER(N64),N64,IF(ISNUMBER(N66),N66/$F$64,"")),"")</f>
        <v/>
      </c>
      <c r="O67" s="623"/>
      <c r="P67" s="623" t="str">
        <f>IFERROR(IF(ISNUMBER(P64),P64,IF(ISNUMBER(P66),P66/$F$64,"")),"")</f>
        <v/>
      </c>
      <c r="Q67" s="623"/>
      <c r="R67" s="623" t="str">
        <f>IFERROR(IF(ISNUMBER(R64),R64,IF(ISNUMBER(R66),R66/$F$64,"")),"")</f>
        <v/>
      </c>
      <c r="S67" s="623"/>
      <c r="T67" s="71"/>
      <c r="V67" s="259"/>
      <c r="W67" s="259"/>
      <c r="X67" s="259"/>
    </row>
    <row r="68" spans="1:25" ht="4.5" customHeight="1" thickBot="1" x14ac:dyDescent="0.25">
      <c r="A68" s="29"/>
      <c r="B68" s="30"/>
      <c r="C68" s="30"/>
      <c r="D68" s="30"/>
      <c r="E68" s="30"/>
      <c r="F68" s="30"/>
      <c r="G68" s="30"/>
      <c r="H68" s="30"/>
      <c r="I68" s="30"/>
      <c r="J68" s="30"/>
      <c r="K68" s="30"/>
      <c r="L68" s="30"/>
      <c r="M68" s="30"/>
      <c r="N68" s="30"/>
      <c r="O68" s="30"/>
      <c r="P68" s="88"/>
      <c r="Q68" s="89"/>
      <c r="R68" s="88"/>
      <c r="S68" s="31"/>
      <c r="T68" s="32"/>
    </row>
    <row r="69" spans="1:25" ht="13.5" thickBot="1" x14ac:dyDescent="0.25">
      <c r="B69" s="8"/>
      <c r="C69" s="8"/>
      <c r="D69" s="8"/>
      <c r="E69" s="8"/>
      <c r="F69" s="8"/>
      <c r="G69" s="8"/>
      <c r="H69" s="8"/>
      <c r="I69" s="8"/>
      <c r="J69" s="8"/>
      <c r="K69" s="18"/>
      <c r="L69" s="18"/>
      <c r="M69" s="18"/>
      <c r="N69" s="18"/>
      <c r="O69" s="18"/>
      <c r="P69" s="33"/>
      <c r="Q69" s="34"/>
      <c r="R69" s="34"/>
      <c r="S69" s="34"/>
      <c r="T69" s="34"/>
      <c r="V69" s="259"/>
      <c r="W69" s="259"/>
      <c r="X69" s="259"/>
    </row>
    <row r="70" spans="1:25" ht="21.75" customHeight="1" x14ac:dyDescent="0.2">
      <c r="A70" s="408" t="s">
        <v>243</v>
      </c>
      <c r="B70" s="403" t="s">
        <v>239</v>
      </c>
      <c r="C70" s="12" t="str">
        <f>IF(Q61="","Complete Step 3 first","Costs &amp; Subsidies Contributing to "&amp;Control!C6&amp;" Rate")</f>
        <v>Complete Step 3 first</v>
      </c>
      <c r="D70" s="12"/>
      <c r="E70" s="12"/>
      <c r="F70" s="12"/>
      <c r="G70" s="12"/>
      <c r="H70" s="12"/>
      <c r="I70" s="12"/>
      <c r="J70" s="12"/>
      <c r="K70" s="12"/>
      <c r="L70" s="12"/>
      <c r="M70" s="12"/>
      <c r="N70" s="12"/>
      <c r="O70" s="12"/>
      <c r="P70" s="12"/>
      <c r="Q70" s="560" t="str">
        <f>IF(AND(L118&lt;&gt;0,Q61="Step Complete"),"Step Complete","")</f>
        <v/>
      </c>
      <c r="R70" s="560"/>
      <c r="S70" s="560"/>
      <c r="T70" s="13"/>
      <c r="V70" s="615" t="s">
        <v>66</v>
      </c>
      <c r="W70" s="615"/>
      <c r="X70" s="615"/>
    </row>
    <row r="71" spans="1:25" ht="4.5" customHeight="1" x14ac:dyDescent="0.2">
      <c r="A71" s="14"/>
      <c r="B71" s="90"/>
      <c r="C71" s="90"/>
      <c r="D71" s="90"/>
      <c r="E71" s="90"/>
      <c r="F71" s="90"/>
      <c r="G71" s="90"/>
      <c r="H71" s="90"/>
      <c r="I71" s="90"/>
      <c r="J71" s="90"/>
      <c r="K71" s="90"/>
      <c r="L71" s="90"/>
      <c r="M71" s="90"/>
      <c r="N71" s="90"/>
      <c r="O71" s="90"/>
      <c r="P71" s="90"/>
      <c r="Q71" s="90"/>
      <c r="R71" s="90"/>
      <c r="S71" s="90"/>
      <c r="T71" s="17"/>
      <c r="V71" s="615"/>
      <c r="W71" s="615"/>
      <c r="X71" s="615"/>
    </row>
    <row r="72" spans="1:25" x14ac:dyDescent="0.2">
      <c r="A72" s="14"/>
      <c r="B72" s="95"/>
      <c r="C72" s="95"/>
      <c r="D72" s="95"/>
      <c r="E72" s="95"/>
      <c r="F72" s="95"/>
      <c r="G72" s="95"/>
      <c r="H72" s="95"/>
      <c r="I72" s="95"/>
      <c r="J72" s="96"/>
      <c r="K72" s="97"/>
      <c r="L72" s="619" t="s">
        <v>80</v>
      </c>
      <c r="M72" s="619"/>
      <c r="N72" s="97"/>
      <c r="O72" s="97"/>
      <c r="P72" s="98"/>
      <c r="Q72" s="99"/>
      <c r="R72" s="99"/>
      <c r="S72" s="99"/>
      <c r="T72" s="22"/>
      <c r="V72" s="615"/>
      <c r="W72" s="615"/>
      <c r="X72" s="615"/>
    </row>
    <row r="73" spans="1:25" x14ac:dyDescent="0.2">
      <c r="A73" s="14"/>
      <c r="B73" s="100" t="str">
        <f>IF(switch="Yes","Overhead Costs","")</f>
        <v/>
      </c>
      <c r="C73" s="95"/>
      <c r="D73" s="95"/>
      <c r="E73" s="95"/>
      <c r="F73" s="95"/>
      <c r="G73" s="95"/>
      <c r="H73" s="95"/>
      <c r="I73" s="95"/>
      <c r="J73" s="96"/>
      <c r="K73" s="101" t="s">
        <v>27</v>
      </c>
      <c r="L73" s="620" t="str">
        <f>Control!C6</f>
        <v>FY24</v>
      </c>
      <c r="M73" s="620"/>
      <c r="N73" s="102" t="s">
        <v>79</v>
      </c>
      <c r="O73" s="101"/>
      <c r="P73" s="99"/>
      <c r="Q73" s="99"/>
      <c r="R73" s="99"/>
      <c r="S73" s="99"/>
      <c r="T73" s="22"/>
      <c r="V73" s="615"/>
      <c r="W73" s="615"/>
      <c r="X73" s="615"/>
    </row>
    <row r="74" spans="1:25" x14ac:dyDescent="0.2">
      <c r="A74" s="14"/>
      <c r="B74" s="502" t="s">
        <v>77</v>
      </c>
      <c r="C74" s="502"/>
      <c r="D74" s="502"/>
      <c r="E74" s="502"/>
      <c r="F74" s="502"/>
      <c r="G74" s="502"/>
      <c r="H74" s="502"/>
      <c r="I74" s="502"/>
      <c r="J74" s="502"/>
      <c r="L74" s="621"/>
      <c r="M74" s="621"/>
      <c r="N74" s="589"/>
      <c r="O74" s="589"/>
      <c r="P74" s="589"/>
      <c r="Q74" s="589"/>
      <c r="R74" s="589"/>
      <c r="S74" s="589"/>
      <c r="T74" s="22"/>
      <c r="V74" s="616"/>
      <c r="W74" s="616"/>
      <c r="X74" s="616"/>
    </row>
    <row r="75" spans="1:25" x14ac:dyDescent="0.2">
      <c r="A75" s="14"/>
      <c r="B75" s="119" t="s">
        <v>16</v>
      </c>
      <c r="C75" s="119"/>
      <c r="D75" s="283"/>
      <c r="E75" s="283"/>
      <c r="F75" s="283"/>
      <c r="G75" s="283"/>
      <c r="H75" s="283"/>
      <c r="I75" s="283"/>
      <c r="J75" s="284"/>
      <c r="K75" s="285">
        <v>400000</v>
      </c>
      <c r="L75" s="519"/>
      <c r="M75" s="520"/>
      <c r="N75" s="547"/>
      <c r="O75" s="548"/>
      <c r="P75" s="548"/>
      <c r="Q75" s="548"/>
      <c r="R75" s="548"/>
      <c r="S75" s="549"/>
      <c r="T75" s="22"/>
      <c r="V75" s="268" t="s">
        <v>39</v>
      </c>
      <c r="W75" s="269" t="s">
        <v>37</v>
      </c>
      <c r="X75" s="269" t="s">
        <v>38</v>
      </c>
    </row>
    <row r="76" spans="1:25" x14ac:dyDescent="0.2">
      <c r="A76" s="14"/>
      <c r="B76" s="119" t="s">
        <v>15</v>
      </c>
      <c r="C76" s="119"/>
      <c r="D76" s="283"/>
      <c r="E76" s="283"/>
      <c r="F76" s="283"/>
      <c r="G76" s="283"/>
      <c r="H76" s="283"/>
      <c r="I76" s="283"/>
      <c r="J76" s="284"/>
      <c r="K76" s="285">
        <v>400290</v>
      </c>
      <c r="L76" s="519"/>
      <c r="M76" s="520"/>
      <c r="N76" s="504"/>
      <c r="O76" s="505"/>
      <c r="P76" s="505"/>
      <c r="Q76" s="505"/>
      <c r="R76" s="505"/>
      <c r="S76" s="506"/>
      <c r="T76" s="22"/>
      <c r="V76" s="5"/>
      <c r="W76" s="2"/>
      <c r="X76" s="3"/>
    </row>
    <row r="77" spans="1:25" x14ac:dyDescent="0.2">
      <c r="A77" s="14"/>
      <c r="B77" s="119" t="s">
        <v>18</v>
      </c>
      <c r="C77" s="119"/>
      <c r="D77" s="283"/>
      <c r="E77" s="283"/>
      <c r="F77" s="283"/>
      <c r="G77" s="283"/>
      <c r="H77" s="283"/>
      <c r="I77" s="283"/>
      <c r="J77" s="284"/>
      <c r="K77" s="285">
        <v>402500</v>
      </c>
      <c r="L77" s="519"/>
      <c r="M77" s="520"/>
      <c r="N77" s="504"/>
      <c r="O77" s="505"/>
      <c r="P77" s="505"/>
      <c r="Q77" s="505"/>
      <c r="R77" s="505"/>
      <c r="S77" s="506"/>
      <c r="T77" s="22"/>
      <c r="V77" s="5"/>
      <c r="W77" s="2"/>
      <c r="X77" s="3"/>
    </row>
    <row r="78" spans="1:25" x14ac:dyDescent="0.2">
      <c r="A78" s="14"/>
      <c r="B78" s="119" t="s">
        <v>19</v>
      </c>
      <c r="C78" s="119"/>
      <c r="D78" s="283"/>
      <c r="E78" s="283"/>
      <c r="F78" s="283"/>
      <c r="G78" s="283"/>
      <c r="H78" s="283"/>
      <c r="I78" s="283"/>
      <c r="J78" s="284"/>
      <c r="K78" s="285">
        <v>405000</v>
      </c>
      <c r="L78" s="519"/>
      <c r="M78" s="520"/>
      <c r="N78" s="504"/>
      <c r="O78" s="505"/>
      <c r="P78" s="505"/>
      <c r="Q78" s="505"/>
      <c r="R78" s="505"/>
      <c r="S78" s="506"/>
      <c r="T78" s="22"/>
      <c r="V78" s="5"/>
      <c r="W78" s="2"/>
      <c r="X78" s="3"/>
    </row>
    <row r="79" spans="1:25" x14ac:dyDescent="0.2">
      <c r="A79" s="14"/>
      <c r="B79" s="119" t="s">
        <v>20</v>
      </c>
      <c r="C79" s="119"/>
      <c r="D79" s="283"/>
      <c r="E79" s="283"/>
      <c r="F79" s="283"/>
      <c r="G79" s="283"/>
      <c r="H79" s="283"/>
      <c r="I79" s="283"/>
      <c r="J79" s="284"/>
      <c r="K79" s="285">
        <v>402750</v>
      </c>
      <c r="L79" s="519"/>
      <c r="M79" s="520"/>
      <c r="N79" s="504"/>
      <c r="O79" s="505"/>
      <c r="P79" s="505"/>
      <c r="Q79" s="505"/>
      <c r="R79" s="505"/>
      <c r="S79" s="506"/>
      <c r="T79" s="22"/>
      <c r="V79" s="1"/>
      <c r="W79" s="2"/>
      <c r="X79" s="3"/>
      <c r="Y79" s="103"/>
    </row>
    <row r="80" spans="1:25" x14ac:dyDescent="0.2">
      <c r="A80" s="14"/>
      <c r="B80" s="119" t="s">
        <v>21</v>
      </c>
      <c r="C80" s="119"/>
      <c r="D80" s="283"/>
      <c r="E80" s="283"/>
      <c r="F80" s="283"/>
      <c r="G80" s="283"/>
      <c r="H80" s="283"/>
      <c r="I80" s="283"/>
      <c r="J80" s="284"/>
      <c r="K80" s="285">
        <v>405150</v>
      </c>
      <c r="L80" s="519"/>
      <c r="M80" s="520"/>
      <c r="N80" s="504"/>
      <c r="O80" s="505"/>
      <c r="P80" s="505"/>
      <c r="Q80" s="505"/>
      <c r="R80" s="505"/>
      <c r="S80" s="506"/>
      <c r="T80" s="22"/>
      <c r="V80" s="1"/>
      <c r="W80" s="2"/>
      <c r="X80" s="3"/>
    </row>
    <row r="81" spans="1:25" x14ac:dyDescent="0.2">
      <c r="A81" s="14"/>
      <c r="B81" s="119" t="s">
        <v>17</v>
      </c>
      <c r="C81" s="119"/>
      <c r="D81" s="283"/>
      <c r="E81" s="283"/>
      <c r="F81" s="283"/>
      <c r="G81" s="283"/>
      <c r="H81" s="283"/>
      <c r="I81" s="283"/>
      <c r="J81" s="284"/>
      <c r="K81" s="285">
        <v>402200</v>
      </c>
      <c r="L81" s="519"/>
      <c r="M81" s="520"/>
      <c r="N81" s="504"/>
      <c r="O81" s="505"/>
      <c r="P81" s="505"/>
      <c r="Q81" s="505"/>
      <c r="R81" s="505"/>
      <c r="S81" s="506"/>
      <c r="T81" s="22"/>
      <c r="V81" s="4"/>
      <c r="W81" s="2"/>
      <c r="X81" s="3"/>
    </row>
    <row r="82" spans="1:25" x14ac:dyDescent="0.2">
      <c r="A82" s="14"/>
      <c r="B82" s="281" t="s">
        <v>9</v>
      </c>
      <c r="C82" s="281"/>
      <c r="D82" s="281"/>
      <c r="E82" s="281"/>
      <c r="F82" s="281"/>
      <c r="G82" s="281"/>
      <c r="H82" s="281"/>
      <c r="I82" s="281"/>
      <c r="J82" s="281"/>
      <c r="K82" s="282">
        <v>407500</v>
      </c>
      <c r="L82" s="517"/>
      <c r="M82" s="518"/>
      <c r="N82" s="504"/>
      <c r="O82" s="505"/>
      <c r="P82" s="505"/>
      <c r="Q82" s="505"/>
      <c r="R82" s="505"/>
      <c r="S82" s="506"/>
      <c r="T82" s="22"/>
      <c r="V82" s="1"/>
      <c r="W82" s="2"/>
      <c r="X82" s="3"/>
      <c r="Y82" s="103"/>
    </row>
    <row r="83" spans="1:25" x14ac:dyDescent="0.2">
      <c r="A83" s="14"/>
      <c r="B83" s="286" t="s">
        <v>23</v>
      </c>
      <c r="C83" s="107"/>
      <c r="D83" s="107"/>
      <c r="E83" s="107"/>
      <c r="F83" s="107"/>
      <c r="G83" s="107"/>
      <c r="H83" s="107"/>
      <c r="I83" s="107"/>
      <c r="J83" s="107"/>
      <c r="K83" s="293"/>
      <c r="L83" s="617">
        <f>SUM(L75:L82)</f>
        <v>0</v>
      </c>
      <c r="M83" s="617"/>
      <c r="N83" s="537"/>
      <c r="O83" s="537"/>
      <c r="P83" s="537"/>
      <c r="Q83" s="537"/>
      <c r="R83" s="537"/>
      <c r="S83" s="537"/>
      <c r="T83" s="22"/>
      <c r="V83" s="1"/>
      <c r="W83" s="2"/>
      <c r="X83" s="3"/>
      <c r="Y83" s="106"/>
    </row>
    <row r="84" spans="1:25" x14ac:dyDescent="0.2">
      <c r="A84" s="14"/>
      <c r="B84" s="283" t="s">
        <v>22</v>
      </c>
      <c r="C84" s="283"/>
      <c r="D84" s="283"/>
      <c r="E84" s="283"/>
      <c r="F84" s="283"/>
      <c r="G84" s="283"/>
      <c r="H84" s="283"/>
      <c r="I84" s="283"/>
      <c r="J84" s="288" t="str">
        <f>Control!$C$6</f>
        <v>FY24</v>
      </c>
      <c r="K84" s="289"/>
      <c r="L84" s="618"/>
      <c r="M84" s="618"/>
      <c r="N84" s="537"/>
      <c r="O84" s="537"/>
      <c r="P84" s="537"/>
      <c r="Q84" s="537"/>
      <c r="R84" s="537"/>
      <c r="S84" s="537"/>
      <c r="T84" s="22"/>
      <c r="V84" s="1"/>
      <c r="W84" s="2"/>
      <c r="X84" s="3"/>
    </row>
    <row r="85" spans="1:25" x14ac:dyDescent="0.2">
      <c r="A85" s="14"/>
      <c r="B85" s="290" t="s">
        <v>16</v>
      </c>
      <c r="C85" s="290"/>
      <c r="D85" s="290"/>
      <c r="E85" s="290"/>
      <c r="F85" s="290"/>
      <c r="G85" s="290"/>
      <c r="H85" s="290"/>
      <c r="I85" s="290"/>
      <c r="J85" s="291">
        <f>Reference!$F$8</f>
        <v>0.36599999999999999</v>
      </c>
      <c r="K85" s="292">
        <v>418400</v>
      </c>
      <c r="L85" s="635">
        <f>ROUND(+L75*Reference!$F8,2)</f>
        <v>0</v>
      </c>
      <c r="M85" s="635"/>
      <c r="N85" s="537"/>
      <c r="O85" s="537"/>
      <c r="P85" s="537"/>
      <c r="Q85" s="537"/>
      <c r="R85" s="537"/>
      <c r="S85" s="537"/>
      <c r="T85" s="22"/>
      <c r="V85" s="1"/>
      <c r="W85" s="2"/>
      <c r="X85" s="3"/>
      <c r="Y85" s="103"/>
    </row>
    <row r="86" spans="1:25" x14ac:dyDescent="0.2">
      <c r="A86" s="14"/>
      <c r="B86" s="290" t="s">
        <v>15</v>
      </c>
      <c r="C86" s="290"/>
      <c r="D86" s="290"/>
      <c r="E86" s="290"/>
      <c r="F86" s="290"/>
      <c r="G86" s="290"/>
      <c r="H86" s="290"/>
      <c r="I86" s="290"/>
      <c r="J86" s="291">
        <f>Reference!$F$8</f>
        <v>0.36599999999999999</v>
      </c>
      <c r="K86" s="292">
        <v>418610</v>
      </c>
      <c r="L86" s="635">
        <f>ROUND(+L76*Reference!$F9,2)</f>
        <v>0</v>
      </c>
      <c r="M86" s="635"/>
      <c r="N86" s="537"/>
      <c r="O86" s="537"/>
      <c r="P86" s="537"/>
      <c r="Q86" s="537"/>
      <c r="R86" s="537"/>
      <c r="S86" s="537"/>
      <c r="T86" s="22"/>
      <c r="V86" s="1"/>
      <c r="W86" s="2"/>
      <c r="X86" s="3"/>
    </row>
    <row r="87" spans="1:25" x14ac:dyDescent="0.2">
      <c r="A87" s="14"/>
      <c r="B87" s="290" t="s">
        <v>18</v>
      </c>
      <c r="C87" s="290"/>
      <c r="D87" s="290"/>
      <c r="E87" s="290"/>
      <c r="F87" s="290"/>
      <c r="G87" s="290"/>
      <c r="H87" s="290"/>
      <c r="I87" s="290"/>
      <c r="J87" s="291">
        <f>Reference!$F$10</f>
        <v>0.44900000000000001</v>
      </c>
      <c r="K87" s="292">
        <v>422500</v>
      </c>
      <c r="L87" s="635">
        <f>ROUND(+L77*Reference!$F10,2)</f>
        <v>0</v>
      </c>
      <c r="M87" s="635"/>
      <c r="N87" s="537"/>
      <c r="O87" s="537"/>
      <c r="P87" s="537"/>
      <c r="Q87" s="537"/>
      <c r="R87" s="537"/>
      <c r="S87" s="537"/>
      <c r="T87" s="22"/>
      <c r="V87" s="1"/>
      <c r="W87" s="2"/>
      <c r="X87" s="3"/>
    </row>
    <row r="88" spans="1:25" x14ac:dyDescent="0.2">
      <c r="A88" s="14"/>
      <c r="B88" s="290" t="s">
        <v>19</v>
      </c>
      <c r="C88" s="290"/>
      <c r="D88" s="290"/>
      <c r="E88" s="290"/>
      <c r="F88" s="290"/>
      <c r="G88" s="290"/>
      <c r="H88" s="290"/>
      <c r="I88" s="290"/>
      <c r="J88" s="291">
        <f>Reference!$F$11</f>
        <v>0.503</v>
      </c>
      <c r="K88" s="292">
        <v>425000</v>
      </c>
      <c r="L88" s="635">
        <f>ROUND(+L78*Reference!$F11,2)</f>
        <v>0</v>
      </c>
      <c r="M88" s="635"/>
      <c r="N88" s="537"/>
      <c r="O88" s="537"/>
      <c r="P88" s="537"/>
      <c r="Q88" s="537"/>
      <c r="R88" s="537"/>
      <c r="S88" s="537"/>
      <c r="T88" s="22"/>
      <c r="V88" s="1"/>
      <c r="W88" s="2"/>
      <c r="X88" s="3"/>
    </row>
    <row r="89" spans="1:25" x14ac:dyDescent="0.2">
      <c r="A89" s="14"/>
      <c r="B89" s="290" t="s">
        <v>20</v>
      </c>
      <c r="C89" s="290"/>
      <c r="D89" s="290"/>
      <c r="E89" s="290"/>
      <c r="F89" s="290"/>
      <c r="G89" s="290"/>
      <c r="H89" s="290"/>
      <c r="I89" s="290"/>
      <c r="J89" s="291">
        <f>Reference!$F$12</f>
        <v>0.24</v>
      </c>
      <c r="K89" s="292">
        <v>422610</v>
      </c>
      <c r="L89" s="635">
        <f>ROUND(+L79*Reference!$F12,2)</f>
        <v>0</v>
      </c>
      <c r="M89" s="635"/>
      <c r="N89" s="537"/>
      <c r="O89" s="537"/>
      <c r="P89" s="537"/>
      <c r="Q89" s="537"/>
      <c r="R89" s="537"/>
      <c r="S89" s="537"/>
      <c r="T89" s="22"/>
    </row>
    <row r="90" spans="1:25" x14ac:dyDescent="0.2">
      <c r="A90" s="14"/>
      <c r="B90" s="290" t="s">
        <v>21</v>
      </c>
      <c r="C90" s="290"/>
      <c r="D90" s="290"/>
      <c r="E90" s="290"/>
      <c r="F90" s="290"/>
      <c r="G90" s="290"/>
      <c r="H90" s="290"/>
      <c r="I90" s="290"/>
      <c r="J90" s="291">
        <f>Reference!$F$13</f>
        <v>0.14699999999999999</v>
      </c>
      <c r="K90" s="292">
        <v>425110</v>
      </c>
      <c r="L90" s="635">
        <f>ROUND(+L80*Reference!$F13,2)</f>
        <v>0</v>
      </c>
      <c r="M90" s="635"/>
      <c r="N90" s="537"/>
      <c r="O90" s="537"/>
      <c r="P90" s="537"/>
      <c r="Q90" s="537"/>
      <c r="R90" s="537"/>
      <c r="S90" s="537"/>
      <c r="T90" s="22"/>
    </row>
    <row r="91" spans="1:25" x14ac:dyDescent="0.2">
      <c r="A91" s="14"/>
      <c r="B91" s="290" t="s">
        <v>17</v>
      </c>
      <c r="C91" s="290"/>
      <c r="D91" s="290"/>
      <c r="E91" s="290"/>
      <c r="F91" s="290"/>
      <c r="G91" s="290"/>
      <c r="H91" s="290"/>
      <c r="I91" s="290"/>
      <c r="J91" s="291">
        <f>Reference!$F$14</f>
        <v>8.0000000000000002E-3</v>
      </c>
      <c r="K91" s="292">
        <v>422210</v>
      </c>
      <c r="L91" s="635">
        <f>ROUND(+L81*Reference!$F$14,2)</f>
        <v>0</v>
      </c>
      <c r="M91" s="635"/>
      <c r="N91" s="537"/>
      <c r="O91" s="537"/>
      <c r="P91" s="537"/>
      <c r="Q91" s="537"/>
      <c r="R91" s="537"/>
      <c r="S91" s="537"/>
      <c r="T91" s="22"/>
    </row>
    <row r="92" spans="1:25" x14ac:dyDescent="0.2">
      <c r="A92" s="14"/>
      <c r="B92" s="281" t="s">
        <v>9</v>
      </c>
      <c r="C92" s="281"/>
      <c r="D92" s="281"/>
      <c r="E92" s="281"/>
      <c r="F92" s="281"/>
      <c r="G92" s="281"/>
      <c r="H92" s="281"/>
      <c r="I92" s="281"/>
      <c r="J92" s="291">
        <f>Reference!$F$14</f>
        <v>8.0000000000000002E-3</v>
      </c>
      <c r="K92" s="294">
        <v>427500</v>
      </c>
      <c r="L92" s="636">
        <f>ROUND(+L82*Reference!$F$15,2)</f>
        <v>0</v>
      </c>
      <c r="M92" s="636"/>
      <c r="N92" s="537"/>
      <c r="O92" s="537"/>
      <c r="P92" s="537"/>
      <c r="Q92" s="537"/>
      <c r="R92" s="537"/>
      <c r="S92" s="537"/>
      <c r="T92" s="22"/>
    </row>
    <row r="93" spans="1:25" x14ac:dyDescent="0.2">
      <c r="A93" s="14"/>
      <c r="B93" s="104" t="s">
        <v>24</v>
      </c>
      <c r="C93" s="105"/>
      <c r="D93" s="105"/>
      <c r="E93" s="105"/>
      <c r="F93" s="105"/>
      <c r="G93" s="107"/>
      <c r="H93" s="108"/>
      <c r="I93" s="108"/>
      <c r="J93" s="109"/>
      <c r="K93" s="295"/>
      <c r="L93" s="633">
        <f>SUM(L85:L92)</f>
        <v>0</v>
      </c>
      <c r="M93" s="633"/>
      <c r="N93" s="537"/>
      <c r="O93" s="537"/>
      <c r="P93" s="537"/>
      <c r="Q93" s="537"/>
      <c r="R93" s="537"/>
      <c r="S93" s="537"/>
      <c r="T93" s="22"/>
      <c r="V93" s="270"/>
      <c r="W93" s="270"/>
      <c r="X93" s="270"/>
    </row>
    <row r="94" spans="1:25" s="110" customFormat="1" x14ac:dyDescent="0.2">
      <c r="A94" s="111"/>
      <c r="B94" s="112" t="s">
        <v>7</v>
      </c>
      <c r="C94" s="112"/>
      <c r="D94" s="112"/>
      <c r="E94" s="112"/>
      <c r="F94" s="112"/>
      <c r="G94" s="112"/>
      <c r="H94" s="112"/>
      <c r="I94" s="112"/>
      <c r="J94" s="112"/>
      <c r="K94" s="296"/>
      <c r="L94" s="634">
        <f>+L83+L93</f>
        <v>0</v>
      </c>
      <c r="M94" s="634"/>
      <c r="N94" s="537"/>
      <c r="O94" s="537"/>
      <c r="P94" s="537"/>
      <c r="Q94" s="537"/>
      <c r="R94" s="537"/>
      <c r="S94" s="537"/>
      <c r="T94" s="22"/>
      <c r="V94" s="270"/>
      <c r="W94" s="270"/>
      <c r="X94" s="270"/>
    </row>
    <row r="95" spans="1:25" ht="4.5" customHeight="1" x14ac:dyDescent="0.2">
      <c r="A95" s="14"/>
      <c r="B95" s="113"/>
      <c r="C95" s="113"/>
      <c r="D95" s="113"/>
      <c r="E95" s="113"/>
      <c r="F95" s="113"/>
      <c r="G95" s="113"/>
      <c r="H95" s="113"/>
      <c r="I95" s="113"/>
      <c r="J95" s="113"/>
      <c r="K95" s="115"/>
      <c r="L95" s="322"/>
      <c r="M95" s="323"/>
      <c r="N95" s="589"/>
      <c r="O95" s="589"/>
      <c r="P95" s="589"/>
      <c r="Q95" s="589"/>
      <c r="R95" s="589"/>
      <c r="S95" s="589"/>
      <c r="T95" s="22"/>
    </row>
    <row r="96" spans="1:25" x14ac:dyDescent="0.2">
      <c r="A96" s="14"/>
      <c r="B96" s="283" t="s">
        <v>10</v>
      </c>
      <c r="C96" s="283"/>
      <c r="D96" s="283"/>
      <c r="E96" s="283"/>
      <c r="F96" s="283"/>
      <c r="G96" s="283"/>
      <c r="H96" s="283"/>
      <c r="I96" s="283"/>
      <c r="J96" s="284"/>
      <c r="K96" s="297">
        <v>460000</v>
      </c>
      <c r="L96" s="519"/>
      <c r="M96" s="520"/>
      <c r="N96" s="547"/>
      <c r="O96" s="548"/>
      <c r="P96" s="548"/>
      <c r="Q96" s="548"/>
      <c r="R96" s="548"/>
      <c r="S96" s="549"/>
      <c r="T96" s="22"/>
    </row>
    <row r="97" spans="1:22" x14ac:dyDescent="0.2">
      <c r="A97" s="14"/>
      <c r="B97" s="283" t="s">
        <v>70</v>
      </c>
      <c r="C97" s="283"/>
      <c r="D97" s="283"/>
      <c r="E97" s="283"/>
      <c r="F97" s="283"/>
      <c r="G97" s="283"/>
      <c r="H97" s="283"/>
      <c r="I97" s="283"/>
      <c r="J97" s="284"/>
      <c r="K97" s="297">
        <v>460000</v>
      </c>
      <c r="L97" s="519"/>
      <c r="M97" s="520"/>
      <c r="N97" s="504"/>
      <c r="O97" s="505"/>
      <c r="P97" s="505"/>
      <c r="Q97" s="505"/>
      <c r="R97" s="505"/>
      <c r="S97" s="506"/>
      <c r="T97" s="22"/>
      <c r="V97" s="267" t="s">
        <v>69</v>
      </c>
    </row>
    <row r="98" spans="1:22" x14ac:dyDescent="0.2">
      <c r="A98" s="14"/>
      <c r="B98" s="283" t="s">
        <v>68</v>
      </c>
      <c r="C98" s="283"/>
      <c r="D98" s="283"/>
      <c r="E98" s="283"/>
      <c r="F98" s="283"/>
      <c r="G98" s="283"/>
      <c r="H98" s="283"/>
      <c r="I98" s="283"/>
      <c r="J98" s="284"/>
      <c r="K98" s="297">
        <v>460000</v>
      </c>
      <c r="L98" s="519"/>
      <c r="M98" s="520"/>
      <c r="N98" s="504"/>
      <c r="O98" s="505"/>
      <c r="P98" s="505"/>
      <c r="Q98" s="505"/>
      <c r="R98" s="505"/>
      <c r="S98" s="506"/>
      <c r="T98" s="22"/>
    </row>
    <row r="99" spans="1:22" x14ac:dyDescent="0.2">
      <c r="A99" s="14"/>
      <c r="B99" s="283" t="s">
        <v>11</v>
      </c>
      <c r="C99" s="283"/>
      <c r="D99" s="283"/>
      <c r="E99" s="283"/>
      <c r="F99" s="283"/>
      <c r="G99" s="283"/>
      <c r="H99" s="283"/>
      <c r="I99" s="283"/>
      <c r="J99" s="284"/>
      <c r="K99" s="297">
        <v>460000</v>
      </c>
      <c r="L99" s="519"/>
      <c r="M99" s="520"/>
      <c r="N99" s="504"/>
      <c r="O99" s="505"/>
      <c r="P99" s="505"/>
      <c r="Q99" s="505"/>
      <c r="R99" s="505"/>
      <c r="S99" s="506"/>
      <c r="T99" s="22"/>
    </row>
    <row r="100" spans="1:22" x14ac:dyDescent="0.2">
      <c r="A100" s="14"/>
      <c r="B100" s="283" t="s">
        <v>12</v>
      </c>
      <c r="C100" s="283"/>
      <c r="D100" s="283"/>
      <c r="E100" s="283"/>
      <c r="F100" s="283"/>
      <c r="G100" s="283"/>
      <c r="H100" s="283"/>
      <c r="I100" s="283"/>
      <c r="J100" s="284"/>
      <c r="K100" s="297">
        <v>460000</v>
      </c>
      <c r="L100" s="519"/>
      <c r="M100" s="520"/>
      <c r="N100" s="504"/>
      <c r="O100" s="505"/>
      <c r="P100" s="505"/>
      <c r="Q100" s="505"/>
      <c r="R100" s="505"/>
      <c r="S100" s="506"/>
      <c r="T100" s="22"/>
    </row>
    <row r="101" spans="1:22" x14ac:dyDescent="0.2">
      <c r="A101" s="14"/>
      <c r="B101" s="283" t="s">
        <v>13</v>
      </c>
      <c r="C101" s="283"/>
      <c r="D101" s="283"/>
      <c r="E101" s="283"/>
      <c r="F101" s="283"/>
      <c r="G101" s="283"/>
      <c r="H101" s="283"/>
      <c r="I101" s="283"/>
      <c r="J101" s="284"/>
      <c r="K101" s="297">
        <v>460000</v>
      </c>
      <c r="L101" s="519"/>
      <c r="M101" s="520"/>
      <c r="N101" s="504"/>
      <c r="O101" s="505"/>
      <c r="P101" s="505"/>
      <c r="Q101" s="505"/>
      <c r="R101" s="505"/>
      <c r="S101" s="506"/>
      <c r="T101" s="22"/>
    </row>
    <row r="102" spans="1:22" x14ac:dyDescent="0.2">
      <c r="A102" s="14"/>
      <c r="B102" s="283" t="s">
        <v>36</v>
      </c>
      <c r="C102" s="283"/>
      <c r="D102" s="283"/>
      <c r="E102" s="283"/>
      <c r="F102" s="283"/>
      <c r="G102" s="283"/>
      <c r="H102" s="283"/>
      <c r="I102" s="283"/>
      <c r="J102" s="284"/>
      <c r="K102" s="297">
        <v>700000</v>
      </c>
      <c r="L102" s="519"/>
      <c r="M102" s="520"/>
      <c r="N102" s="504"/>
      <c r="O102" s="505"/>
      <c r="P102" s="505"/>
      <c r="Q102" s="505"/>
      <c r="R102" s="505"/>
      <c r="S102" s="506"/>
      <c r="T102" s="22"/>
    </row>
    <row r="103" spans="1:22" x14ac:dyDescent="0.2">
      <c r="A103" s="14"/>
      <c r="B103" s="394" t="s">
        <v>75</v>
      </c>
      <c r="C103" s="283"/>
      <c r="D103" s="283"/>
      <c r="E103" s="283"/>
      <c r="F103" s="283"/>
      <c r="G103" s="283"/>
      <c r="H103" s="283"/>
      <c r="I103" s="283"/>
      <c r="J103" s="284"/>
      <c r="K103" s="396">
        <v>460000</v>
      </c>
      <c r="L103" s="519"/>
      <c r="M103" s="520"/>
      <c r="N103" s="504"/>
      <c r="O103" s="505"/>
      <c r="P103" s="505"/>
      <c r="Q103" s="505"/>
      <c r="R103" s="505"/>
      <c r="S103" s="506"/>
      <c r="T103" s="22"/>
    </row>
    <row r="104" spans="1:22" x14ac:dyDescent="0.2">
      <c r="A104" s="14"/>
      <c r="B104" s="394" t="s">
        <v>75</v>
      </c>
      <c r="C104" s="283"/>
      <c r="D104" s="283"/>
      <c r="E104" s="283"/>
      <c r="F104" s="283"/>
      <c r="G104" s="283"/>
      <c r="H104" s="283"/>
      <c r="I104" s="283"/>
      <c r="J104" s="284"/>
      <c r="K104" s="396">
        <v>460000</v>
      </c>
      <c r="L104" s="519"/>
      <c r="M104" s="520"/>
      <c r="N104" s="504"/>
      <c r="O104" s="505"/>
      <c r="P104" s="505"/>
      <c r="Q104" s="505"/>
      <c r="R104" s="505"/>
      <c r="S104" s="506"/>
      <c r="T104" s="22"/>
    </row>
    <row r="105" spans="1:22" x14ac:dyDescent="0.2">
      <c r="A105" s="14"/>
      <c r="B105" s="394" t="s">
        <v>75</v>
      </c>
      <c r="C105" s="283"/>
      <c r="D105" s="283"/>
      <c r="E105" s="283"/>
      <c r="F105" s="283"/>
      <c r="G105" s="283"/>
      <c r="H105" s="283"/>
      <c r="I105" s="283"/>
      <c r="J105" s="284"/>
      <c r="K105" s="396">
        <v>460000</v>
      </c>
      <c r="L105" s="519"/>
      <c r="M105" s="520"/>
      <c r="N105" s="504"/>
      <c r="O105" s="505"/>
      <c r="P105" s="505"/>
      <c r="Q105" s="505"/>
      <c r="R105" s="505"/>
      <c r="S105" s="506"/>
      <c r="T105" s="22"/>
    </row>
    <row r="106" spans="1:22" x14ac:dyDescent="0.2">
      <c r="A106" s="14"/>
      <c r="B106" s="394" t="s">
        <v>75</v>
      </c>
      <c r="C106" s="283"/>
      <c r="D106" s="283"/>
      <c r="E106" s="283"/>
      <c r="F106" s="283"/>
      <c r="G106" s="283"/>
      <c r="H106" s="283"/>
      <c r="I106" s="283"/>
      <c r="J106" s="284"/>
      <c r="K106" s="396">
        <v>460000</v>
      </c>
      <c r="L106" s="519"/>
      <c r="M106" s="520"/>
      <c r="N106" s="504"/>
      <c r="O106" s="505"/>
      <c r="P106" s="505"/>
      <c r="Q106" s="505"/>
      <c r="R106" s="505"/>
      <c r="S106" s="506"/>
      <c r="T106" s="22"/>
    </row>
    <row r="107" spans="1:22" x14ac:dyDescent="0.2">
      <c r="A107" s="14"/>
      <c r="B107" s="394" t="s">
        <v>75</v>
      </c>
      <c r="C107" s="283"/>
      <c r="D107" s="283"/>
      <c r="E107" s="283"/>
      <c r="F107" s="283"/>
      <c r="G107" s="283"/>
      <c r="H107" s="283"/>
      <c r="I107" s="283"/>
      <c r="J107" s="284"/>
      <c r="K107" s="396">
        <v>460000</v>
      </c>
      <c r="L107" s="519"/>
      <c r="M107" s="520"/>
      <c r="N107" s="504"/>
      <c r="O107" s="505"/>
      <c r="P107" s="505"/>
      <c r="Q107" s="505"/>
      <c r="R107" s="505"/>
      <c r="S107" s="506"/>
      <c r="T107" s="22"/>
    </row>
    <row r="108" spans="1:22" x14ac:dyDescent="0.2">
      <c r="A108" s="14"/>
      <c r="B108" s="394" t="s">
        <v>75</v>
      </c>
      <c r="C108" s="283"/>
      <c r="D108" s="283"/>
      <c r="E108" s="283"/>
      <c r="F108" s="283"/>
      <c r="G108" s="283"/>
      <c r="H108" s="283"/>
      <c r="I108" s="283"/>
      <c r="J108" s="284"/>
      <c r="K108" s="396">
        <v>460000</v>
      </c>
      <c r="L108" s="519"/>
      <c r="M108" s="520"/>
      <c r="N108" s="504"/>
      <c r="O108" s="505"/>
      <c r="P108" s="505"/>
      <c r="Q108" s="505"/>
      <c r="R108" s="505"/>
      <c r="S108" s="506"/>
      <c r="T108" s="22"/>
    </row>
    <row r="109" spans="1:22" x14ac:dyDescent="0.2">
      <c r="A109" s="14"/>
      <c r="B109" s="394" t="s">
        <v>75</v>
      </c>
      <c r="C109" s="283"/>
      <c r="D109" s="283"/>
      <c r="E109" s="283"/>
      <c r="F109" s="283"/>
      <c r="G109" s="283"/>
      <c r="H109" s="283"/>
      <c r="I109" s="283"/>
      <c r="J109" s="284"/>
      <c r="K109" s="396">
        <v>460000</v>
      </c>
      <c r="L109" s="519"/>
      <c r="M109" s="520"/>
      <c r="N109" s="504"/>
      <c r="O109" s="505"/>
      <c r="P109" s="505"/>
      <c r="Q109" s="505"/>
      <c r="R109" s="505"/>
      <c r="S109" s="506"/>
      <c r="T109" s="22"/>
    </row>
    <row r="110" spans="1:22" x14ac:dyDescent="0.2">
      <c r="A110" s="14"/>
      <c r="B110" s="394" t="s">
        <v>75</v>
      </c>
      <c r="C110" s="283"/>
      <c r="D110" s="283"/>
      <c r="E110" s="283"/>
      <c r="F110" s="283"/>
      <c r="G110" s="283"/>
      <c r="H110" s="283"/>
      <c r="I110" s="283"/>
      <c r="J110" s="284"/>
      <c r="K110" s="396">
        <v>460000</v>
      </c>
      <c r="L110" s="519"/>
      <c r="M110" s="520"/>
      <c r="N110" s="504"/>
      <c r="O110" s="505"/>
      <c r="P110" s="505"/>
      <c r="Q110" s="505"/>
      <c r="R110" s="505"/>
      <c r="S110" s="506"/>
      <c r="T110" s="22"/>
    </row>
    <row r="111" spans="1:22" x14ac:dyDescent="0.2">
      <c r="A111" s="14"/>
      <c r="B111" s="394" t="s">
        <v>75</v>
      </c>
      <c r="C111" s="283"/>
      <c r="D111" s="283"/>
      <c r="E111" s="283"/>
      <c r="F111" s="283"/>
      <c r="G111" s="283"/>
      <c r="H111" s="283"/>
      <c r="I111" s="283"/>
      <c r="J111" s="284"/>
      <c r="K111" s="396">
        <v>460000</v>
      </c>
      <c r="L111" s="519"/>
      <c r="M111" s="520"/>
      <c r="N111" s="504"/>
      <c r="O111" s="505"/>
      <c r="P111" s="505"/>
      <c r="Q111" s="505"/>
      <c r="R111" s="505"/>
      <c r="S111" s="506"/>
      <c r="T111" s="22"/>
    </row>
    <row r="112" spans="1:22" x14ac:dyDescent="0.2">
      <c r="A112" s="14"/>
      <c r="B112" s="394" t="s">
        <v>75</v>
      </c>
      <c r="C112" s="283"/>
      <c r="D112" s="283"/>
      <c r="E112" s="283"/>
      <c r="F112" s="283"/>
      <c r="G112" s="283"/>
      <c r="H112" s="283"/>
      <c r="I112" s="283"/>
      <c r="J112" s="284"/>
      <c r="K112" s="396">
        <v>460000</v>
      </c>
      <c r="L112" s="519"/>
      <c r="M112" s="520"/>
      <c r="N112" s="504"/>
      <c r="O112" s="505"/>
      <c r="P112" s="505"/>
      <c r="Q112" s="505"/>
      <c r="R112" s="505"/>
      <c r="S112" s="506"/>
      <c r="T112" s="22"/>
    </row>
    <row r="113" spans="1:26" x14ac:dyDescent="0.2">
      <c r="A113" s="14"/>
      <c r="B113" s="394" t="s">
        <v>75</v>
      </c>
      <c r="C113" s="283"/>
      <c r="D113" s="283"/>
      <c r="E113" s="283"/>
      <c r="F113" s="283"/>
      <c r="G113" s="283"/>
      <c r="H113" s="283"/>
      <c r="I113" s="283"/>
      <c r="J113" s="284"/>
      <c r="K113" s="396">
        <v>460000</v>
      </c>
      <c r="L113" s="519"/>
      <c r="M113" s="520"/>
      <c r="N113" s="504"/>
      <c r="O113" s="505"/>
      <c r="P113" s="505"/>
      <c r="Q113" s="505"/>
      <c r="R113" s="505"/>
      <c r="S113" s="506"/>
      <c r="T113" s="22"/>
    </row>
    <row r="114" spans="1:26" x14ac:dyDescent="0.2">
      <c r="A114" s="14"/>
      <c r="B114" s="394" t="s">
        <v>75</v>
      </c>
      <c r="C114" s="283"/>
      <c r="D114" s="283"/>
      <c r="E114" s="283"/>
      <c r="F114" s="283"/>
      <c r="G114" s="283"/>
      <c r="H114" s="283"/>
      <c r="I114" s="283"/>
      <c r="J114" s="284"/>
      <c r="K114" s="396">
        <v>460000</v>
      </c>
      <c r="L114" s="519"/>
      <c r="M114" s="520"/>
      <c r="N114" s="504"/>
      <c r="O114" s="505"/>
      <c r="P114" s="505"/>
      <c r="Q114" s="505"/>
      <c r="R114" s="505"/>
      <c r="S114" s="506"/>
      <c r="T114" s="22"/>
    </row>
    <row r="115" spans="1:26" x14ac:dyDescent="0.2">
      <c r="A115" s="14"/>
      <c r="B115" s="395" t="s">
        <v>75</v>
      </c>
      <c r="C115" s="299"/>
      <c r="D115" s="299"/>
      <c r="E115" s="299"/>
      <c r="F115" s="300"/>
      <c r="G115" s="299"/>
      <c r="H115" s="299"/>
      <c r="I115" s="299"/>
      <c r="J115" s="301"/>
      <c r="K115" s="397">
        <v>460000</v>
      </c>
      <c r="L115" s="519"/>
      <c r="M115" s="520"/>
      <c r="N115" s="315"/>
      <c r="O115" s="316" t="s">
        <v>328</v>
      </c>
      <c r="Q115" s="317"/>
      <c r="R115" s="317"/>
      <c r="S115" s="317"/>
      <c r="T115" s="22"/>
      <c r="Y115" s="114"/>
    </row>
    <row r="116" spans="1:26" x14ac:dyDescent="0.2">
      <c r="A116" s="14"/>
      <c r="B116" s="303" t="s">
        <v>14</v>
      </c>
      <c r="C116" s="304"/>
      <c r="D116" s="304"/>
      <c r="E116" s="304"/>
      <c r="F116" s="304"/>
      <c r="G116" s="304"/>
      <c r="H116" s="304"/>
      <c r="I116" s="304"/>
      <c r="J116" s="305"/>
      <c r="K116" s="306"/>
      <c r="L116" s="516">
        <f>SUM(L96:L115)</f>
        <v>0</v>
      </c>
      <c r="M116" s="516"/>
      <c r="N116" s="537"/>
      <c r="O116" s="537"/>
      <c r="P116" s="537"/>
      <c r="Q116" s="537"/>
      <c r="R116" s="537"/>
      <c r="S116" s="537"/>
      <c r="T116" s="22"/>
    </row>
    <row r="117" spans="1:26" ht="4.5" customHeight="1" x14ac:dyDescent="0.2">
      <c r="A117" s="14"/>
      <c r="B117" s="284"/>
      <c r="C117" s="284"/>
      <c r="D117" s="284"/>
      <c r="E117" s="284"/>
      <c r="F117" s="284"/>
      <c r="G117" s="284"/>
      <c r="H117" s="284"/>
      <c r="I117" s="284"/>
      <c r="J117" s="284"/>
      <c r="K117" s="307"/>
      <c r="L117" s="324"/>
      <c r="M117" s="325"/>
      <c r="N117" s="537"/>
      <c r="O117" s="537"/>
      <c r="P117" s="537"/>
      <c r="Q117" s="537"/>
      <c r="R117" s="537"/>
      <c r="S117" s="537"/>
      <c r="T117" s="22"/>
    </row>
    <row r="118" spans="1:26" x14ac:dyDescent="0.2">
      <c r="A118" s="14"/>
      <c r="B118" s="304" t="s">
        <v>151</v>
      </c>
      <c r="C118" s="304"/>
      <c r="D118" s="304"/>
      <c r="E118" s="304"/>
      <c r="F118" s="304"/>
      <c r="G118" s="304"/>
      <c r="H118" s="304"/>
      <c r="I118" s="304"/>
      <c r="J118" s="304"/>
      <c r="K118" s="311"/>
      <c r="L118" s="559">
        <f>L94+L116</f>
        <v>0</v>
      </c>
      <c r="M118" s="559"/>
      <c r="N118" s="537"/>
      <c r="O118" s="537"/>
      <c r="P118" s="537"/>
      <c r="Q118" s="537"/>
      <c r="R118" s="537"/>
      <c r="S118" s="537"/>
      <c r="T118" s="22"/>
    </row>
    <row r="119" spans="1:26" x14ac:dyDescent="0.2">
      <c r="A119" s="14"/>
      <c r="B119" s="309" t="str">
        <f>IF(switch="No","GAR","GAR, including GAR on inventory purchases")</f>
        <v>GAR</v>
      </c>
      <c r="C119" s="283"/>
      <c r="D119" s="283"/>
      <c r="E119" s="283"/>
      <c r="F119" s="283"/>
      <c r="G119" s="283"/>
      <c r="H119" s="283"/>
      <c r="I119" s="283"/>
      <c r="J119" s="310">
        <f>IF($C$7="",Reference!$F$3,IF(VALUE(LEFT($C$7,1))=2,Reference!$F$3,0))</f>
        <v>8.7499999999999994E-2</v>
      </c>
      <c r="K119" s="307">
        <v>960100</v>
      </c>
      <c r="L119" s="567">
        <f>IF(switch="No",ROUND($L$118*J119,2),ROUND(($L$118+$F$66)*J119,2))</f>
        <v>0</v>
      </c>
      <c r="M119" s="567"/>
      <c r="N119" s="537"/>
      <c r="O119" s="537"/>
      <c r="P119" s="537"/>
      <c r="Q119" s="537"/>
      <c r="R119" s="537"/>
      <c r="S119" s="537"/>
      <c r="T119" s="22"/>
    </row>
    <row r="120" spans="1:26" x14ac:dyDescent="0.2">
      <c r="A120" s="14"/>
      <c r="B120" s="309" t="str">
        <f>IF(switch="No","GIR","GIR, including GIR on inventory purchases")</f>
        <v>GIR</v>
      </c>
      <c r="C120" s="283"/>
      <c r="D120" s="283"/>
      <c r="E120" s="283"/>
      <c r="F120" s="283"/>
      <c r="G120" s="283"/>
      <c r="H120" s="283"/>
      <c r="I120" s="283"/>
      <c r="J120" s="310">
        <f>IF($C$7="",Reference!$F$4,IF(VALUE(LEFT($C$7,1))=2,Reference!$F$4,0))</f>
        <v>0</v>
      </c>
      <c r="K120" s="307">
        <v>960200</v>
      </c>
      <c r="L120" s="509">
        <f>IF(switch="No",ROUND($L$118*J120,2),ROUND(($L$118+$F$66)*J120,2))</f>
        <v>0</v>
      </c>
      <c r="M120" s="509"/>
      <c r="N120" s="537"/>
      <c r="O120" s="537"/>
      <c r="P120" s="537"/>
      <c r="Q120" s="537"/>
      <c r="R120" s="537"/>
      <c r="S120" s="537"/>
      <c r="T120" s="22"/>
    </row>
    <row r="121" spans="1:26" x14ac:dyDescent="0.2">
      <c r="A121" s="14"/>
      <c r="B121" s="449" t="s">
        <v>318</v>
      </c>
      <c r="C121" s="299"/>
      <c r="D121" s="299"/>
      <c r="E121" s="299"/>
      <c r="F121" s="299"/>
      <c r="G121" s="299"/>
      <c r="H121" s="299"/>
      <c r="I121" s="299"/>
      <c r="J121" s="301"/>
      <c r="K121" s="302">
        <v>997106</v>
      </c>
      <c r="L121" s="513"/>
      <c r="M121" s="514"/>
      <c r="N121" s="547"/>
      <c r="O121" s="548"/>
      <c r="P121" s="548"/>
      <c r="Q121" s="548"/>
      <c r="R121" s="548"/>
      <c r="S121" s="549"/>
      <c r="T121" s="22"/>
    </row>
    <row r="122" spans="1:26" x14ac:dyDescent="0.2">
      <c r="A122" s="14"/>
      <c r="B122" s="304" t="s">
        <v>152</v>
      </c>
      <c r="C122" s="304"/>
      <c r="D122" s="304"/>
      <c r="E122" s="304"/>
      <c r="F122" s="304"/>
      <c r="G122" s="304"/>
      <c r="H122" s="304"/>
      <c r="I122" s="304"/>
      <c r="J122" s="304"/>
      <c r="K122" s="311"/>
      <c r="L122" s="516">
        <f>SUM(L118:M121)</f>
        <v>0</v>
      </c>
      <c r="M122" s="516"/>
      <c r="N122" s="537"/>
      <c r="O122" s="537"/>
      <c r="P122" s="537"/>
      <c r="Q122" s="537"/>
      <c r="R122" s="537"/>
      <c r="S122" s="537"/>
      <c r="T122" s="22"/>
      <c r="V122" s="271"/>
      <c r="Y122" s="103"/>
    </row>
    <row r="123" spans="1:26" ht="12.75" customHeight="1" x14ac:dyDescent="0.2">
      <c r="A123" s="14"/>
      <c r="B123" s="511" t="s">
        <v>153</v>
      </c>
      <c r="C123" s="511"/>
      <c r="D123" s="511"/>
      <c r="E123" s="511"/>
      <c r="F123" s="511"/>
      <c r="G123" s="511"/>
      <c r="H123" s="511"/>
      <c r="I123" s="511"/>
      <c r="J123" s="511"/>
      <c r="K123" s="312"/>
      <c r="L123" s="517"/>
      <c r="M123" s="518"/>
      <c r="N123" s="313"/>
      <c r="P123" s="7"/>
      <c r="Q123" s="314" t="str">
        <f>IF(L123&gt;0,"Choose primary funding source","")</f>
        <v/>
      </c>
      <c r="R123" s="550" t="s">
        <v>132</v>
      </c>
      <c r="S123" s="550"/>
      <c r="T123" s="22"/>
      <c r="U123" s="7" t="str">
        <f>IF(ISNUMBER(L123),"&lt;-","")</f>
        <v/>
      </c>
      <c r="V123" s="497" t="str">
        <f>IF(ISNUMBER(L123),"Unallowable expenses must be paid for by departmental subsidies or external sales gains.  Choose which source you would like to use first for these expenses; any amount not covered by the primary source will be charged to the other source.","")</f>
        <v/>
      </c>
      <c r="W123" s="497"/>
      <c r="X123" s="497"/>
      <c r="Y123" s="497"/>
      <c r="Z123" s="497"/>
    </row>
    <row r="124" spans="1:26" x14ac:dyDescent="0.2">
      <c r="A124" s="14"/>
      <c r="B124" s="304" t="s">
        <v>154</v>
      </c>
      <c r="C124" s="304"/>
      <c r="D124" s="304"/>
      <c r="E124" s="304"/>
      <c r="F124" s="304"/>
      <c r="G124" s="304"/>
      <c r="H124" s="304"/>
      <c r="I124" s="304"/>
      <c r="J124" s="304"/>
      <c r="K124" s="308"/>
      <c r="L124" s="557">
        <f>SUM(L122:M123)</f>
        <v>0</v>
      </c>
      <c r="M124" s="558"/>
      <c r="N124" s="116"/>
      <c r="O124" s="117"/>
      <c r="P124" s="117"/>
      <c r="Q124" s="118" t="str">
        <f>IF(L123&gt;0,"for unallowable expenses","")</f>
        <v/>
      </c>
      <c r="R124" s="117"/>
      <c r="S124" s="117"/>
      <c r="T124" s="22"/>
      <c r="V124" s="497"/>
      <c r="W124" s="497"/>
      <c r="X124" s="497"/>
      <c r="Y124" s="497"/>
      <c r="Z124" s="497"/>
    </row>
    <row r="125" spans="1:26" ht="12.75" customHeight="1" x14ac:dyDescent="0.2">
      <c r="A125" s="14"/>
      <c r="B125" s="512" t="s">
        <v>145</v>
      </c>
      <c r="C125" s="512"/>
      <c r="D125" s="512"/>
      <c r="E125" s="512"/>
      <c r="F125" s="512"/>
      <c r="G125" s="512"/>
      <c r="H125" s="512"/>
      <c r="I125" s="512"/>
      <c r="J125" s="512"/>
      <c r="K125" s="297">
        <v>995100</v>
      </c>
      <c r="L125" s="519"/>
      <c r="M125" s="520"/>
      <c r="N125" s="547"/>
      <c r="O125" s="548"/>
      <c r="P125" s="548"/>
      <c r="Q125" s="548"/>
      <c r="R125" s="548"/>
      <c r="S125" s="549"/>
      <c r="T125" s="22"/>
      <c r="V125" s="497"/>
      <c r="W125" s="497"/>
      <c r="X125" s="497"/>
      <c r="Y125" s="497"/>
      <c r="Z125" s="497"/>
    </row>
    <row r="126" spans="1:26" x14ac:dyDescent="0.2">
      <c r="A126" s="14"/>
      <c r="B126" s="533" t="s">
        <v>156</v>
      </c>
      <c r="C126" s="534"/>
      <c r="D126" s="534"/>
      <c r="E126" s="534"/>
      <c r="F126" s="534"/>
      <c r="G126" s="534"/>
      <c r="H126" s="534"/>
      <c r="I126" s="534"/>
      <c r="J126" s="534"/>
      <c r="K126" s="302">
        <v>995100</v>
      </c>
      <c r="L126" s="517"/>
      <c r="M126" s="518"/>
      <c r="N126" s="561" t="str">
        <f>IF(AND(ISNUMBER(L67),L67&gt;0,L126&gt;0),"Not allowed if internal sales will occur.","")</f>
        <v/>
      </c>
      <c r="O126" s="562"/>
      <c r="P126" s="562"/>
      <c r="Q126" s="562"/>
      <c r="R126" s="562"/>
      <c r="S126" s="563"/>
      <c r="T126" s="22"/>
      <c r="Y126" s="119"/>
    </row>
    <row r="127" spans="1:26" x14ac:dyDescent="0.2">
      <c r="A127" s="14"/>
      <c r="B127" s="304" t="s">
        <v>155</v>
      </c>
      <c r="C127" s="304"/>
      <c r="D127" s="304"/>
      <c r="E127" s="304"/>
      <c r="F127" s="304"/>
      <c r="G127" s="304"/>
      <c r="H127" s="304"/>
      <c r="I127" s="304"/>
      <c r="J127" s="304"/>
      <c r="K127" s="311"/>
      <c r="L127" s="507">
        <f>+L124-L125-L126</f>
        <v>0</v>
      </c>
      <c r="M127" s="507"/>
      <c r="N127" s="508"/>
      <c r="O127" s="508"/>
      <c r="P127" s="508"/>
      <c r="Q127" s="508"/>
      <c r="R127" s="508"/>
      <c r="S127" s="508"/>
      <c r="T127" s="22"/>
      <c r="V127" s="271"/>
      <c r="W127" s="271"/>
    </row>
    <row r="128" spans="1:26" ht="4.5" customHeight="1" thickBot="1" x14ac:dyDescent="0.25">
      <c r="A128" s="29"/>
      <c r="B128" s="30"/>
      <c r="C128" s="30"/>
      <c r="D128" s="30"/>
      <c r="E128" s="30"/>
      <c r="F128" s="30"/>
      <c r="G128" s="30"/>
      <c r="H128" s="30"/>
      <c r="I128" s="30"/>
      <c r="J128" s="30"/>
      <c r="K128" s="30"/>
      <c r="L128" s="30"/>
      <c r="M128" s="30"/>
      <c r="N128" s="30"/>
      <c r="O128" s="30"/>
      <c r="P128" s="89"/>
      <c r="Q128" s="89"/>
      <c r="R128" s="88"/>
      <c r="S128" s="88"/>
      <c r="T128" s="32"/>
    </row>
    <row r="129" spans="1:24" ht="13.5" thickBot="1" x14ac:dyDescent="0.25">
      <c r="B129" s="8"/>
      <c r="C129" s="8"/>
      <c r="D129" s="8"/>
      <c r="E129" s="8"/>
      <c r="F129" s="8"/>
      <c r="G129" s="8"/>
      <c r="H129" s="8"/>
      <c r="I129" s="8"/>
      <c r="J129" s="8"/>
      <c r="K129" s="18"/>
      <c r="L129" s="18"/>
      <c r="M129" s="18"/>
      <c r="N129" s="18"/>
      <c r="O129" s="18"/>
      <c r="P129" s="120"/>
      <c r="Q129" s="34"/>
      <c r="R129" s="34"/>
      <c r="S129" s="34"/>
      <c r="T129" s="34"/>
    </row>
    <row r="130" spans="1:24" ht="21.75" customHeight="1" x14ac:dyDescent="0.2">
      <c r="A130" s="408" t="s">
        <v>243</v>
      </c>
      <c r="B130" s="403" t="s">
        <v>240</v>
      </c>
      <c r="C130" s="12" t="str">
        <f>IF(Q70="","Complete step 4 first",IF(switch="No","Rate Selection","Margin Selection"))</f>
        <v>Complete step 4 first</v>
      </c>
      <c r="D130" s="12"/>
      <c r="E130" s="12"/>
      <c r="F130" s="529" t="str">
        <f>IF(OR(LEFT(P135,6)="Choose",LEFT(P137,6)="Choose",LEFT(P139,6)="Choose",LEFT(P141,6)="Choose",LEFT(K149,6)="Choose"),"Errors Present!","")</f>
        <v/>
      </c>
      <c r="G130" s="529"/>
      <c r="H130" s="529"/>
      <c r="I130" s="529"/>
      <c r="J130" s="529"/>
      <c r="K130" s="529"/>
      <c r="L130" s="529"/>
      <c r="M130" s="529"/>
      <c r="N130" s="529"/>
      <c r="O130" s="529"/>
      <c r="P130" s="12"/>
      <c r="Q130" s="560" t="str">
        <f>IF(OR(AND(B136="yes",ISBLANK(H135)),AND(B138="yes",ISBLANK(H137)),AND(B140="yes",ISBLANK(H139)),AND(B142="yes",ISBLANK(H141)),F130&lt;&gt;"",Q70&lt;&gt;"Step Complete"),"","Step Complete")</f>
        <v/>
      </c>
      <c r="R130" s="560"/>
      <c r="S130" s="560"/>
      <c r="T130" s="13"/>
      <c r="V130" s="259"/>
      <c r="W130" s="259"/>
      <c r="X130" s="259"/>
    </row>
    <row r="131" spans="1:24" ht="4.5" customHeight="1" x14ac:dyDescent="0.2">
      <c r="A131" s="14"/>
      <c r="B131" s="90"/>
      <c r="C131" s="90"/>
      <c r="D131" s="90"/>
      <c r="E131" s="90"/>
      <c r="F131" s="121"/>
      <c r="G131" s="121"/>
      <c r="H131" s="121"/>
      <c r="I131" s="121"/>
      <c r="J131" s="121"/>
      <c r="K131" s="121"/>
      <c r="L131" s="121"/>
      <c r="M131" s="121"/>
      <c r="N131" s="121"/>
      <c r="O131" s="121"/>
      <c r="P131" s="15"/>
      <c r="Q131" s="15"/>
      <c r="R131" s="15"/>
      <c r="S131" s="15"/>
      <c r="T131" s="17"/>
      <c r="V131" s="259"/>
      <c r="W131" s="259"/>
      <c r="X131" s="259"/>
    </row>
    <row r="132" spans="1:24" x14ac:dyDescent="0.2">
      <c r="A132" s="14"/>
      <c r="B132" s="122" t="str">
        <f>"Choose a "&amp;IF(switch="No","rate ","margin ")&amp;"for each customer type between the minimum and maximums shown for each.  The gain/(loss) figures shown are for that customer type only."</f>
        <v>Choose a rate for each customer type between the minimum and maximums shown for each.  The gain/(loss) figures shown are for that customer type only.</v>
      </c>
      <c r="C132" s="122"/>
      <c r="D132" s="8"/>
      <c r="E132" s="8"/>
      <c r="F132" s="8"/>
      <c r="G132" s="8"/>
      <c r="H132" s="8"/>
      <c r="I132" s="8"/>
      <c r="J132" s="8"/>
      <c r="K132" s="18"/>
      <c r="L132" s="18"/>
      <c r="M132" s="18"/>
      <c r="N132" s="18"/>
      <c r="O132" s="18"/>
      <c r="P132" s="120"/>
      <c r="Q132" s="34"/>
      <c r="R132" s="34"/>
      <c r="S132" s="34"/>
      <c r="T132" s="35"/>
    </row>
    <row r="133" spans="1:24" ht="4.5" customHeight="1" x14ac:dyDescent="0.2">
      <c r="A133" s="14"/>
      <c r="B133" s="8"/>
      <c r="C133" s="8"/>
      <c r="D133" s="8"/>
      <c r="E133" s="8"/>
      <c r="F133" s="8"/>
      <c r="G133" s="8"/>
      <c r="H133" s="8"/>
      <c r="I133" s="8"/>
      <c r="J133" s="8"/>
      <c r="K133" s="18"/>
      <c r="L133" s="18"/>
      <c r="M133" s="18"/>
      <c r="N133" s="18"/>
      <c r="O133" s="18"/>
      <c r="P133" s="120"/>
      <c r="Q133" s="34"/>
      <c r="R133" s="34"/>
      <c r="S133" s="34"/>
      <c r="T133" s="35"/>
    </row>
    <row r="134" spans="1:24" ht="25.5" customHeight="1" x14ac:dyDescent="0.2">
      <c r="A134" s="14"/>
      <c r="B134" s="8"/>
      <c r="C134" s="8"/>
      <c r="D134" s="8"/>
      <c r="E134" s="8"/>
      <c r="F134" s="554" t="s">
        <v>85</v>
      </c>
      <c r="G134" s="554"/>
      <c r="H134" s="521" t="s">
        <v>87</v>
      </c>
      <c r="I134" s="521"/>
      <c r="J134" s="543" t="s">
        <v>86</v>
      </c>
      <c r="K134" s="543"/>
      <c r="L134" s="555" t="s">
        <v>88</v>
      </c>
      <c r="M134" s="555"/>
      <c r="N134" s="530" t="s">
        <v>89</v>
      </c>
      <c r="O134" s="530"/>
      <c r="P134" s="7"/>
      <c r="Q134" s="7"/>
      <c r="R134" s="7"/>
      <c r="S134" s="110"/>
      <c r="T134" s="35"/>
    </row>
    <row r="135" spans="1:24" x14ac:dyDescent="0.2">
      <c r="A135" s="14"/>
      <c r="B135" s="123" t="s">
        <v>84</v>
      </c>
      <c r="C135" s="123"/>
      <c r="D135" s="8"/>
      <c r="E135" s="8"/>
      <c r="F135" s="501" t="str">
        <f>IF(B136="no","",0)</f>
        <v/>
      </c>
      <c r="G135" s="501"/>
      <c r="H135" s="544"/>
      <c r="I135" s="545"/>
      <c r="J135" s="542" t="str">
        <f>IF(B136="yes",IF(switch="No",IFERROR(ROUND(C144,2),""),IFERROR(C144,"")),"")</f>
        <v/>
      </c>
      <c r="K135" s="542"/>
      <c r="L135" s="556" t="str">
        <f>IF(AND(ISNUMBER(F135),ISNUMBER(H135)),ROUND(($F$64*L67*H135),2)+(L125)-ROUND(($L$122*L67),2),"")</f>
        <v/>
      </c>
      <c r="M135" s="556"/>
      <c r="N135" s="541" t="str">
        <f>IF(AND(ISNUMBER(F135),ISNUMBER(H135)),IFERROR(L135/(($L$122*L67)/365),0),"")</f>
        <v/>
      </c>
      <c r="O135" s="541"/>
      <c r="P135" s="127" t="str">
        <f>IF(B136="yes",IF(H135&lt;F135,"Choose a higher rate",IF(H135&gt;J135,"Choose a lower rate","")),"")</f>
        <v/>
      </c>
      <c r="Q135" s="7"/>
      <c r="R135" s="7"/>
      <c r="S135" s="124"/>
      <c r="T135" s="35"/>
    </row>
    <row r="136" spans="1:24" ht="4.5" customHeight="1" x14ac:dyDescent="0.2">
      <c r="A136" s="14"/>
      <c r="B136" s="125" t="str">
        <f>IF(L$67="","no","yes")</f>
        <v>no</v>
      </c>
      <c r="C136" s="125"/>
      <c r="D136" s="8"/>
      <c r="E136" s="8"/>
      <c r="F136" s="525"/>
      <c r="G136" s="525"/>
      <c r="H136" s="525"/>
      <c r="I136" s="525"/>
      <c r="J136" s="582"/>
      <c r="K136" s="582"/>
      <c r="L136" s="546"/>
      <c r="M136" s="546"/>
      <c r="N136" s="515"/>
      <c r="O136" s="515"/>
      <c r="P136" s="7"/>
      <c r="Q136" s="7"/>
      <c r="R136" s="7"/>
      <c r="S136" s="126"/>
      <c r="T136" s="35"/>
    </row>
    <row r="137" spans="1:24" x14ac:dyDescent="0.2">
      <c r="A137" s="14"/>
      <c r="B137" s="123" t="s">
        <v>90</v>
      </c>
      <c r="C137" s="123"/>
      <c r="D137" s="8"/>
      <c r="E137" s="8"/>
      <c r="F137" s="501" t="str">
        <f>IF(B138="no","",IF(AND(B136="yes",ISNUMBER(H135)),MAX(H135,ROUND(E144,2)),IF(switch="No",ROUND(E144,2),E144)))</f>
        <v/>
      </c>
      <c r="G137" s="501"/>
      <c r="H137" s="544"/>
      <c r="I137" s="545"/>
      <c r="J137" s="542" t="str">
        <f>IF(B138="yes",IF(B136="no","(no maximum)",IF(switch="No",IFERROR(ROUND(MAX(C144,F137,G144),2),""),IFERROR(G144,""))),"")</f>
        <v/>
      </c>
      <c r="K137" s="542"/>
      <c r="L137" s="556" t="str">
        <f>IF(AND(ISNUMBER(F137),ISNUMBER(H137)),ROUND(($F$64*N67*H137),2)+($L$126*N67)-ROUND(($L$122*N67),2),"")</f>
        <v/>
      </c>
      <c r="M137" s="556"/>
      <c r="N137" s="541" t="str">
        <f>IF(AND(ISNUMBER(F137),ISNUMBER(H137)),IFERROR(L137/(($L$122*N67)/365),0),"")</f>
        <v/>
      </c>
      <c r="O137" s="541"/>
      <c r="P137" s="127" t="str">
        <f>IF(B138="yes",IF(AND(ISNUMBER(H137),H137&lt;F137),"Choose a higher rate",IF(AND(ISNUMBER(H137),H137&gt;J137),"Choose a lower rate",IF(AND(R123="External gains",SUM(L137:L141)&lt;L123),"Ext. gains will not cover unallowable exps",""))),"")</f>
        <v/>
      </c>
      <c r="Q137" s="7"/>
      <c r="R137" s="7"/>
      <c r="S137" s="7"/>
      <c r="T137" s="35"/>
      <c r="V137" s="272"/>
    </row>
    <row r="138" spans="1:24" ht="4.5" customHeight="1" x14ac:dyDescent="0.2">
      <c r="A138" s="14"/>
      <c r="B138" s="125" t="str">
        <f>IF(N$67="","no","yes")</f>
        <v>no</v>
      </c>
      <c r="C138" s="125"/>
      <c r="D138" s="8"/>
      <c r="E138" s="8"/>
      <c r="F138" s="525"/>
      <c r="G138" s="525"/>
      <c r="H138" s="525"/>
      <c r="I138" s="525"/>
      <c r="J138" s="582"/>
      <c r="K138" s="582"/>
      <c r="L138" s="546"/>
      <c r="M138" s="546"/>
      <c r="N138" s="515"/>
      <c r="O138" s="515"/>
      <c r="P138" s="75"/>
      <c r="Q138" s="7"/>
      <c r="R138" s="7"/>
      <c r="S138" s="128"/>
      <c r="T138" s="35"/>
      <c r="V138" s="273"/>
    </row>
    <row r="139" spans="1:24" x14ac:dyDescent="0.2">
      <c r="A139" s="14"/>
      <c r="B139" s="123" t="s">
        <v>91</v>
      </c>
      <c r="C139" s="123"/>
      <c r="D139" s="8"/>
      <c r="E139" s="8"/>
      <c r="F139" s="501" t="str">
        <f>IF(B140="no","",IF($B$136="yes",IF(AND($B$138="yes",ISNUMBER($H$137)),$H$137,MAX(ROUND($H$135,2),ROUND(E144,2))),IF(AND($B$138="yes",ISNUMBER($H$137)),$H$137,IF(switch="No",ROUND($E$144,2),E144))))</f>
        <v/>
      </c>
      <c r="G139" s="501"/>
      <c r="H139" s="544"/>
      <c r="I139" s="545"/>
      <c r="J139" s="510" t="str">
        <f>IF(B140="yes","(no maximum)","")</f>
        <v/>
      </c>
      <c r="K139" s="510"/>
      <c r="L139" s="556" t="str">
        <f>IF(AND(ISNUMBER(F139),ISNUMBER(H139)),ROUND(($F$64*P67*H139),2)+($L$126*P67)-ROUND(($L$122*P67),2),"")</f>
        <v/>
      </c>
      <c r="M139" s="556"/>
      <c r="N139" s="541" t="str">
        <f>IF(AND(ISNUMBER(F139),ISNUMBER(H139)),IFERROR(L139/(($L$122*P67)/365),0),"")</f>
        <v/>
      </c>
      <c r="O139" s="541"/>
      <c r="P139" s="127" t="str">
        <f>IF(B140="yes",IF(AND(ISNUMBER(H139),H139&lt;F139),"Choose a higher rate",IF(AND(R123="External gains",SUM(L137:L141)&lt;L123),"Ext. gains will not cover unallowable exps","")),"")</f>
        <v/>
      </c>
      <c r="Q139" s="7"/>
      <c r="R139" s="7"/>
      <c r="S139" s="124"/>
      <c r="T139" s="35"/>
      <c r="V139" s="272"/>
      <c r="W139" s="274"/>
    </row>
    <row r="140" spans="1:24" ht="4.5" customHeight="1" x14ac:dyDescent="0.2">
      <c r="A140" s="14"/>
      <c r="B140" s="125" t="str">
        <f>IF(P$67="","no","yes")</f>
        <v>no</v>
      </c>
      <c r="C140" s="125"/>
      <c r="D140" s="8"/>
      <c r="E140" s="8"/>
      <c r="F140" s="525"/>
      <c r="G140" s="525"/>
      <c r="H140" s="525"/>
      <c r="I140" s="525"/>
      <c r="J140" s="582"/>
      <c r="K140" s="582"/>
      <c r="L140" s="546"/>
      <c r="M140" s="546"/>
      <c r="N140" s="515"/>
      <c r="O140" s="515"/>
      <c r="P140" s="75"/>
      <c r="Q140" s="7"/>
      <c r="R140" s="7"/>
      <c r="S140" s="128"/>
      <c r="T140" s="35"/>
      <c r="V140" s="273"/>
    </row>
    <row r="141" spans="1:24" x14ac:dyDescent="0.2">
      <c r="A141" s="14"/>
      <c r="B141" s="123" t="s">
        <v>92</v>
      </c>
      <c r="C141" s="123"/>
      <c r="D141" s="8"/>
      <c r="E141" s="8"/>
      <c r="F141" s="501" t="str">
        <f>IF(B142="no","",IF($B$136="yes",IF(AND($B$138="yes",ISNUMBER($H$137)),$H$137,MAX(ROUND($H$135,2),ROUND(E144,2))),IF(AND($B$138="yes",ISNUMBER($H$137)),$H$137,IF(switch="No",ROUND($E$144,2),E144))))</f>
        <v/>
      </c>
      <c r="G141" s="501"/>
      <c r="H141" s="544"/>
      <c r="I141" s="545"/>
      <c r="J141" s="510" t="str">
        <f>IF(B142="yes","(no maximum)","")</f>
        <v/>
      </c>
      <c r="K141" s="510"/>
      <c r="L141" s="556" t="str">
        <f>IF(AND(ISNUMBER(F141),ISNUMBER(H141)),ROUND(($F$64*R67*H141),2)+($L$126*R67)-ROUND(($L$122*R67),2),"")</f>
        <v/>
      </c>
      <c r="M141" s="556"/>
      <c r="N141" s="541" t="str">
        <f>IF(AND(ISNUMBER(F141),ISNUMBER(H141)),IFERROR(L141/(($L$122*R67)/365),0),"")</f>
        <v/>
      </c>
      <c r="O141" s="541"/>
      <c r="P141" s="127" t="str">
        <f>IF(B142="yes",IF(AND(ISNUMBER(H141),H141&lt;F141),"Choose a higher rate",IF(AND(R123="External gains",SUM(L137:L141)&lt;L123),"Ext. gains will not cover unallowable exps","")),"")</f>
        <v/>
      </c>
      <c r="Q141" s="7"/>
      <c r="R141" s="7"/>
      <c r="S141" s="7"/>
      <c r="T141" s="35"/>
      <c r="V141" s="273"/>
    </row>
    <row r="142" spans="1:24" ht="4.5" customHeight="1" x14ac:dyDescent="0.2">
      <c r="A142" s="14"/>
      <c r="B142" s="125" t="str">
        <f>IF(R$67="","no","yes")</f>
        <v>no</v>
      </c>
      <c r="C142" s="125"/>
      <c r="D142" s="8"/>
      <c r="E142" s="8"/>
      <c r="F142" s="525"/>
      <c r="G142" s="525"/>
      <c r="H142" s="525"/>
      <c r="I142" s="525"/>
      <c r="J142" s="582"/>
      <c r="K142" s="582"/>
      <c r="L142" s="546"/>
      <c r="M142" s="546"/>
      <c r="N142" s="515"/>
      <c r="O142" s="515"/>
      <c r="P142" s="7"/>
      <c r="Q142" s="7"/>
      <c r="R142" s="7"/>
      <c r="S142" s="34"/>
      <c r="T142" s="35"/>
      <c r="V142" s="273"/>
    </row>
    <row r="143" spans="1:24" x14ac:dyDescent="0.2">
      <c r="A143" s="14"/>
      <c r="B143" s="8"/>
      <c r="C143" s="8"/>
      <c r="D143" s="8"/>
      <c r="E143" s="8"/>
      <c r="F143" s="8"/>
      <c r="G143" s="8"/>
      <c r="H143" s="8"/>
      <c r="I143" s="8"/>
      <c r="J143" s="8"/>
      <c r="K143" s="18"/>
      <c r="L143" s="575">
        <f>SUM(L135:L141)</f>
        <v>0</v>
      </c>
      <c r="M143" s="575"/>
      <c r="N143" s="609" t="str">
        <f>IFERROR(L143/(($L$122)/365),"")</f>
        <v/>
      </c>
      <c r="O143" s="609"/>
      <c r="P143" s="7"/>
      <c r="Q143" s="7"/>
      <c r="R143" s="7"/>
      <c r="S143" s="34"/>
      <c r="T143" s="35"/>
    </row>
    <row r="144" spans="1:24" hidden="1" x14ac:dyDescent="0.2">
      <c r="A144" s="65"/>
      <c r="B144" s="94" t="s">
        <v>101</v>
      </c>
      <c r="C144" s="129" t="str">
        <f>IFERROR(MAX(ROUND(($L$122*L67*425/365-(L125-E145)-H46)/($F$64*L67),3),0),"")</f>
        <v/>
      </c>
      <c r="D144" s="94" t="s">
        <v>124</v>
      </c>
      <c r="E144" s="130" t="str">
        <f>IFERROR(ROUND(L122/F64,3),"")</f>
        <v/>
      </c>
      <c r="F144" s="131" t="s">
        <v>100</v>
      </c>
      <c r="G144" s="129" t="str">
        <f>IFERROR(ROUND((L122*425/365-H56)/F64,3),"")</f>
        <v/>
      </c>
      <c r="H144" s="131" t="s">
        <v>106</v>
      </c>
      <c r="I144" s="574">
        <f>IFERROR(ROUNDDOWN(MIN(L122*L67*60/365-H46-L135+E145,SUM(L137:L141)-I145),0),0)</f>
        <v>0</v>
      </c>
      <c r="J144" s="574"/>
      <c r="K144" s="94"/>
      <c r="L144" s="94" t="s">
        <v>108</v>
      </c>
      <c r="M144" s="94" t="str">
        <f>IF(AND($B$136="yes",SUM($L$137:$L$141,I145*-1)&gt;0,$H$135&lt;$J$135),"yes","no")</f>
        <v>no</v>
      </c>
      <c r="N144" s="94"/>
      <c r="O144" s="94"/>
      <c r="P144" s="132"/>
      <c r="Q144" s="71"/>
      <c r="R144" s="71"/>
      <c r="S144" s="71"/>
      <c r="T144" s="71"/>
    </row>
    <row r="145" spans="1:56" hidden="1" x14ac:dyDescent="0.2">
      <c r="A145" s="65"/>
      <c r="B145" s="133"/>
      <c r="C145" s="129"/>
      <c r="D145" s="94" t="s">
        <v>135</v>
      </c>
      <c r="E145" s="134">
        <f>IF(L125=0,0,IF(ISNUMBER(L123),IF(R123="Dept. subsidies",MIN(L123,L125),L123-I145),0))</f>
        <v>0</v>
      </c>
      <c r="F145" s="133"/>
      <c r="G145" s="129"/>
      <c r="H145" s="94" t="s">
        <v>134</v>
      </c>
      <c r="I145" s="135">
        <f>IF(ISNUMBER(L123),IF(R123="External gains",MIN(L123,SUM(L137:L141)),L123-E145),0)</f>
        <v>0</v>
      </c>
      <c r="J145" s="136"/>
      <c r="K145" s="94"/>
      <c r="L145" s="94"/>
      <c r="M145" s="94"/>
      <c r="N145" s="94"/>
      <c r="O145" s="94"/>
      <c r="P145" s="132"/>
      <c r="Q145" s="71"/>
      <c r="R145" s="71"/>
      <c r="S145" s="71"/>
      <c r="T145" s="71"/>
    </row>
    <row r="146" spans="1:56" ht="6" customHeight="1" x14ac:dyDescent="0.2">
      <c r="A146" s="14"/>
      <c r="B146" s="8"/>
      <c r="C146" s="8"/>
      <c r="D146" s="8"/>
      <c r="E146" s="8"/>
      <c r="F146" s="8"/>
      <c r="G146" s="8"/>
      <c r="H146" s="8"/>
      <c r="I146" s="8"/>
      <c r="J146" s="8"/>
      <c r="K146" s="18"/>
      <c r="L146" s="18"/>
      <c r="M146" s="18"/>
      <c r="N146" s="18"/>
      <c r="O146" s="18"/>
      <c r="P146" s="120"/>
      <c r="Q146" s="34"/>
      <c r="R146" s="34"/>
      <c r="S146" s="34"/>
      <c r="T146" s="35"/>
    </row>
    <row r="147" spans="1:56" x14ac:dyDescent="0.2">
      <c r="A147" s="14"/>
      <c r="B147" s="86" t="str">
        <f>IF(M144="yes","You may elect to keep a portion of any excess revenue (i.e. gain) from sales to external customers in the service center account to add to internal reserves.","")</f>
        <v/>
      </c>
      <c r="C147" s="86"/>
      <c r="D147" s="137"/>
      <c r="E147" s="137"/>
      <c r="F147" s="137"/>
      <c r="G147" s="137"/>
      <c r="H147" s="137"/>
      <c r="I147" s="137"/>
      <c r="J147" s="137"/>
      <c r="K147" s="92"/>
      <c r="L147" s="92"/>
      <c r="M147" s="92"/>
      <c r="N147" s="92"/>
      <c r="O147" s="92"/>
      <c r="P147" s="138"/>
      <c r="Q147" s="139"/>
      <c r="R147" s="139"/>
      <c r="S147" s="140"/>
      <c r="T147" s="35"/>
    </row>
    <row r="148" spans="1:56" x14ac:dyDescent="0.2">
      <c r="A148" s="14"/>
      <c r="B148" s="86" t="str">
        <f>IF(M144="yes","The maximum amount you can allocate for this purpose is "&amp;TEXT(MAX(I144,0),"$#,##0.;($#,##0)"),"")</f>
        <v/>
      </c>
      <c r="C148" s="86"/>
      <c r="D148" s="137"/>
      <c r="E148" s="137"/>
      <c r="F148" s="137"/>
      <c r="G148" s="137"/>
      <c r="H148" s="137"/>
      <c r="I148" s="139"/>
      <c r="J148" s="86"/>
      <c r="K148" s="86"/>
      <c r="L148" s="86"/>
      <c r="M148" s="86"/>
      <c r="N148" s="86"/>
      <c r="O148" s="86"/>
      <c r="P148" s="86"/>
      <c r="Q148" s="86"/>
      <c r="R148" s="141"/>
      <c r="S148" s="7"/>
      <c r="T148" s="35"/>
    </row>
    <row r="149" spans="1:56" x14ac:dyDescent="0.2">
      <c r="A149" s="14"/>
      <c r="B149" s="86" t="str">
        <f>IF(M144="yes","How much external gain, if any, would you like to allocate?","")</f>
        <v/>
      </c>
      <c r="C149" s="86"/>
      <c r="D149" s="137"/>
      <c r="E149" s="137"/>
      <c r="F149" s="137"/>
      <c r="G149" s="137"/>
      <c r="H149" s="86"/>
      <c r="I149" s="503"/>
      <c r="J149" s="503"/>
      <c r="K149" s="142" t="str">
        <f>IF(AND(M144="yes",ISNUMBER(I149),I149&gt;I144),"Choose a lower amount","")</f>
        <v/>
      </c>
      <c r="L149" s="86"/>
      <c r="M149" s="143"/>
      <c r="N149" s="139"/>
      <c r="O149" s="139"/>
      <c r="P149" s="139"/>
      <c r="Q149" s="139"/>
      <c r="R149" s="144" t="str">
        <f>IF(M144="yes","Wondering why you'd use this option?  Click","")</f>
        <v/>
      </c>
      <c r="S149" s="183" t="str">
        <f>IF(M144="yes","here.","")</f>
        <v/>
      </c>
      <c r="T149" s="35"/>
      <c r="BA149" s="182" t="s">
        <v>161</v>
      </c>
      <c r="BB149" s="182"/>
      <c r="BC149" s="181"/>
      <c r="BD149" s="181"/>
    </row>
    <row r="150" spans="1:56" ht="4.5" customHeight="1" thickBot="1" x14ac:dyDescent="0.25">
      <c r="A150" s="29"/>
      <c r="B150" s="30"/>
      <c r="C150" s="30"/>
      <c r="D150" s="30"/>
      <c r="E150" s="30"/>
      <c r="F150" s="30"/>
      <c r="G150" s="30"/>
      <c r="H150" s="30"/>
      <c r="I150" s="30"/>
      <c r="J150" s="30"/>
      <c r="K150" s="30"/>
      <c r="L150" s="30"/>
      <c r="M150" s="30"/>
      <c r="N150" s="30"/>
      <c r="O150" s="30"/>
      <c r="P150" s="89"/>
      <c r="Q150" s="89"/>
      <c r="R150" s="88"/>
      <c r="S150" s="88"/>
      <c r="T150" s="32"/>
      <c r="BA150" s="452" t="str">
        <f>"You can choose to combine some external gains with internal gains in the RBSA speedtype, as long as the total does not exceed 60 days' worth of internal expenses."&amp;"  The external component will become a permanent part of the internal operations (i.e. the combination can't be reversed).  Doing this in the upcoming year ("&amp;Control!C6&amp;") would enable you to charge a lower internal rate in the following year ("&amp;Control!C5&amp;").  This might be helpful if you're keeping your internal rates lower than cost and using external gains to cover the gap."</f>
        <v>You can choose to combine some external gains with internal gains in the RBSA speedtype, as long as the total does not exceed 60 days' worth of internal expenses.  The external component will become a permanent part of the internal operations (i.e. the combination can't be reversed).  Doing this in the upcoming year (FY24) would enable you to charge a lower internal rate in the following year (FY25).  This might be helpful if you're keeping your internal rates lower than cost and using external gains to cover the gap.</v>
      </c>
      <c r="BB150" s="452"/>
    </row>
    <row r="151" spans="1:56" ht="13.5" thickBot="1" x14ac:dyDescent="0.25">
      <c r="B151" s="8"/>
      <c r="C151" s="8"/>
      <c r="D151" s="8"/>
      <c r="E151" s="8"/>
      <c r="F151" s="8"/>
      <c r="G151" s="8"/>
      <c r="H151" s="145"/>
      <c r="I151" s="145"/>
      <c r="J151" s="8"/>
      <c r="K151" s="18"/>
      <c r="L151" s="18"/>
      <c r="M151" s="18"/>
      <c r="N151" s="18"/>
      <c r="O151" s="18"/>
      <c r="P151" s="120"/>
      <c r="Q151" s="146"/>
      <c r="R151" s="147"/>
      <c r="S151" s="34"/>
      <c r="T151" s="34"/>
      <c r="BA151" s="452"/>
      <c r="BB151" s="452"/>
    </row>
    <row r="152" spans="1:56" ht="21.75" customHeight="1" x14ac:dyDescent="0.2">
      <c r="A152" s="408" t="s">
        <v>243</v>
      </c>
      <c r="B152" s="403" t="s">
        <v>241</v>
      </c>
      <c r="C152" s="399" t="str">
        <f>IF(Q130="","Complete Step 5 first","Summary &amp; Verification")</f>
        <v>Complete Step 5 first</v>
      </c>
      <c r="D152" s="399"/>
      <c r="E152" s="399"/>
      <c r="F152" s="399"/>
      <c r="G152" s="399"/>
      <c r="H152" s="399"/>
      <c r="I152" s="399"/>
      <c r="J152" s="399"/>
      <c r="K152" s="399"/>
      <c r="L152" s="399"/>
      <c r="M152" s="399"/>
      <c r="N152" s="399"/>
      <c r="O152" s="399"/>
      <c r="P152" s="399"/>
      <c r="Q152" s="399"/>
      <c r="R152" s="399"/>
      <c r="S152" s="399"/>
      <c r="T152" s="13"/>
      <c r="V152" s="259"/>
      <c r="W152" s="259"/>
      <c r="X152" s="259"/>
      <c r="BA152" s="452"/>
      <c r="BB152" s="452"/>
    </row>
    <row r="153" spans="1:56" x14ac:dyDescent="0.2">
      <c r="A153" s="14"/>
      <c r="B153" s="605"/>
      <c r="C153" s="148"/>
      <c r="D153" s="148"/>
      <c r="E153" s="148"/>
      <c r="F153" s="148"/>
      <c r="G153" s="148"/>
      <c r="H153" s="98"/>
      <c r="I153" s="98"/>
      <c r="J153" s="98"/>
      <c r="K153" s="98"/>
      <c r="L153" s="584" t="s">
        <v>80</v>
      </c>
      <c r="M153" s="584"/>
      <c r="N153" s="149"/>
      <c r="O153" s="149"/>
      <c r="P153" s="7"/>
      <c r="Q153" s="7"/>
      <c r="R153" s="7"/>
      <c r="S153" s="149"/>
      <c r="T153" s="150"/>
      <c r="BA153" s="452"/>
      <c r="BB153" s="452"/>
    </row>
    <row r="154" spans="1:56" ht="15" customHeight="1" thickBot="1" x14ac:dyDescent="0.25">
      <c r="A154" s="14"/>
      <c r="B154" s="606"/>
      <c r="C154" s="151"/>
      <c r="D154" s="151"/>
      <c r="E154" s="151"/>
      <c r="F154" s="151"/>
      <c r="G154" s="151"/>
      <c r="H154" s="152"/>
      <c r="I154" s="152"/>
      <c r="J154" s="152"/>
      <c r="K154" s="152"/>
      <c r="L154" s="614" t="str">
        <f>Control!$C$6</f>
        <v>FY24</v>
      </c>
      <c r="M154" s="614"/>
      <c r="N154" s="153" t="str">
        <f>IF(OR(AND(ISBLANK(H135),B136="yes"),AND(ISBLANK(H137),B138="yes"),AND(ISBLANK(H139),B140="yes"),AND(ISBLANK(H141),B142="yes")),"Select all rates first","")</f>
        <v/>
      </c>
      <c r="O154" s="154"/>
      <c r="P154" s="7"/>
      <c r="Q154" s="7"/>
      <c r="R154" s="7"/>
      <c r="S154" s="154"/>
      <c r="T154" s="20"/>
      <c r="V154" s="275"/>
      <c r="BA154" s="452"/>
      <c r="BB154" s="452"/>
    </row>
    <row r="155" spans="1:56" ht="15" customHeight="1" x14ac:dyDescent="0.2">
      <c r="A155" s="14"/>
      <c r="B155" s="155" t="s">
        <v>117</v>
      </c>
      <c r="C155" s="155"/>
      <c r="D155" s="156"/>
      <c r="E155" s="156"/>
      <c r="F155" s="156"/>
      <c r="G155" s="157"/>
      <c r="L155" s="610">
        <f>H46</f>
        <v>0</v>
      </c>
      <c r="M155" s="610"/>
      <c r="N155" s="34" t="str">
        <f>IF(ISERROR(ROUND(L155/(($L$122*$L$67)/365),0)),"",ROUND(L155/(($L$122*$L$67)/365),0)&amp;" days' "&amp;Control!C6&amp;" internal reserve")</f>
        <v/>
      </c>
      <c r="P155" s="7"/>
      <c r="Q155" s="7"/>
      <c r="R155" s="7"/>
      <c r="S155" s="158"/>
      <c r="T155" s="159"/>
      <c r="V155" s="275"/>
      <c r="BA155" s="452"/>
      <c r="BB155" s="452"/>
    </row>
    <row r="156" spans="1:56" ht="4.5" customHeight="1" x14ac:dyDescent="0.2">
      <c r="A156" s="14"/>
      <c r="B156" s="160"/>
      <c r="C156" s="160"/>
      <c r="D156" s="157"/>
      <c r="E156" s="157"/>
      <c r="F156" s="157"/>
      <c r="G156" s="157"/>
      <c r="H156" s="161"/>
      <c r="I156" s="161"/>
      <c r="L156" s="611"/>
      <c r="M156" s="611"/>
      <c r="P156" s="7"/>
      <c r="Q156" s="7"/>
      <c r="R156" s="7"/>
      <c r="S156" s="158"/>
      <c r="T156" s="159"/>
      <c r="V156" s="270"/>
      <c r="W156" s="270"/>
      <c r="X156" s="270"/>
      <c r="BA156" s="452"/>
      <c r="BB156" s="452"/>
    </row>
    <row r="157" spans="1:56" ht="25.5" customHeight="1" x14ac:dyDescent="0.2">
      <c r="A157" s="14"/>
      <c r="D157" s="499" t="s">
        <v>76</v>
      </c>
      <c r="E157" s="499"/>
      <c r="F157" s="526" t="s">
        <v>93</v>
      </c>
      <c r="G157" s="526"/>
      <c r="H157" s="526" t="s">
        <v>94</v>
      </c>
      <c r="I157" s="526"/>
      <c r="J157" s="526" t="s">
        <v>96</v>
      </c>
      <c r="K157" s="546"/>
      <c r="L157" s="576" t="s">
        <v>97</v>
      </c>
      <c r="M157" s="576"/>
      <c r="O157" s="162"/>
      <c r="P157" s="7"/>
      <c r="Q157" s="7"/>
      <c r="R157" s="7"/>
      <c r="S157" s="158"/>
      <c r="T157" s="159"/>
      <c r="V157" s="270"/>
      <c r="W157" s="270"/>
      <c r="X157" s="270"/>
      <c r="BA157" s="498" t="s">
        <v>180</v>
      </c>
      <c r="BB157" s="498"/>
    </row>
    <row r="158" spans="1:56" x14ac:dyDescent="0.2">
      <c r="A158" s="14"/>
      <c r="B158" s="41" t="str">
        <f>IF(switch="No","Units Sold","$ Inventory Sold")</f>
        <v>Units Sold</v>
      </c>
      <c r="C158" s="41"/>
      <c r="D158" s="500" t="str">
        <f>IFERROR(L67*$F$64,"")</f>
        <v/>
      </c>
      <c r="E158" s="500"/>
      <c r="F158" s="500" t="str">
        <f>IFERROR(N67*$F$64,"")</f>
        <v/>
      </c>
      <c r="G158" s="500"/>
      <c r="H158" s="500" t="str">
        <f>IFERROR(P67*$F$64,"")</f>
        <v/>
      </c>
      <c r="I158" s="500"/>
      <c r="J158" s="500" t="str">
        <f>IFERROR(R67*$F$64,"")</f>
        <v/>
      </c>
      <c r="K158" s="500"/>
      <c r="L158" s="585"/>
      <c r="M158" s="585"/>
      <c r="N158" s="163"/>
      <c r="O158" s="164"/>
      <c r="P158" s="7"/>
      <c r="Q158" s="7"/>
      <c r="R158" s="7"/>
      <c r="S158" s="158"/>
      <c r="T158" s="159"/>
      <c r="V158" s="270"/>
      <c r="W158" s="270"/>
      <c r="X158" s="270"/>
    </row>
    <row r="159" spans="1:56" x14ac:dyDescent="0.2">
      <c r="A159" s="14"/>
      <c r="B159" s="41" t="str">
        <f>IF(switch="Yes","Margin ","")&amp;"Rate"</f>
        <v>Rate</v>
      </c>
      <c r="C159" s="41"/>
      <c r="D159" s="539">
        <f>H135</f>
        <v>0</v>
      </c>
      <c r="E159" s="539"/>
      <c r="F159" s="539">
        <f>H137</f>
        <v>0</v>
      </c>
      <c r="G159" s="539"/>
      <c r="H159" s="539">
        <f>H139</f>
        <v>0</v>
      </c>
      <c r="I159" s="539"/>
      <c r="J159" s="539">
        <f>H141</f>
        <v>0</v>
      </c>
      <c r="K159" s="539"/>
      <c r="L159" s="583"/>
      <c r="M159" s="583"/>
      <c r="N159" s="163"/>
      <c r="O159" s="165"/>
      <c r="P159" s="7"/>
      <c r="Q159" s="7"/>
      <c r="R159" s="7"/>
      <c r="S159" s="158"/>
      <c r="T159" s="159"/>
      <c r="V159" s="270"/>
      <c r="W159" s="270"/>
      <c r="X159" s="270"/>
    </row>
    <row r="160" spans="1:56" ht="4.5" customHeight="1" x14ac:dyDescent="0.2">
      <c r="A160" s="14"/>
      <c r="D160" s="540"/>
      <c r="E160" s="540"/>
      <c r="F160" s="540"/>
      <c r="G160" s="540"/>
      <c r="H160" s="540"/>
      <c r="I160" s="540"/>
      <c r="J160" s="577"/>
      <c r="K160" s="577"/>
      <c r="L160" s="583"/>
      <c r="M160" s="583"/>
      <c r="N160" s="163"/>
      <c r="P160" s="7"/>
      <c r="Q160" s="7"/>
      <c r="R160" s="7"/>
      <c r="S160" s="158"/>
      <c r="T160" s="159"/>
      <c r="V160" s="270"/>
      <c r="W160" s="270"/>
      <c r="X160" s="270"/>
    </row>
    <row r="161" spans="1:24" x14ac:dyDescent="0.2">
      <c r="A161" s="14"/>
      <c r="B161" s="41" t="str">
        <f>IF(switch="Yes","Margin ","")&amp;"Revenue"</f>
        <v>Revenue</v>
      </c>
      <c r="C161" s="41"/>
      <c r="D161" s="551">
        <f>IFERROR(ROUND(D158*D159,2),0)</f>
        <v>0</v>
      </c>
      <c r="E161" s="551"/>
      <c r="F161" s="551">
        <f>IFERROR(ROUND(F158*F159,2),0)</f>
        <v>0</v>
      </c>
      <c r="G161" s="551"/>
      <c r="H161" s="551">
        <f>IFERROR(ROUND(H158*H159,2),0)</f>
        <v>0</v>
      </c>
      <c r="I161" s="551"/>
      <c r="J161" s="551">
        <f>IFERROR(ROUND(J158*J159,2),0)</f>
        <v>0</v>
      </c>
      <c r="K161" s="551">
        <f t="shared" ref="K161" si="3">IFERROR(ROUND(K158*K159,2),"")</f>
        <v>0</v>
      </c>
      <c r="L161" s="572">
        <f>IF(LEFT($N$154,3)="Sel","",SUM(D161:J161))</f>
        <v>0</v>
      </c>
      <c r="M161" s="572"/>
      <c r="N161" s="9"/>
      <c r="O161" s="166"/>
      <c r="P161" s="7"/>
      <c r="Q161" s="7"/>
      <c r="R161" s="7"/>
      <c r="S161" s="158"/>
      <c r="T161" s="159"/>
      <c r="V161" s="270"/>
      <c r="W161" s="270"/>
      <c r="X161" s="276"/>
    </row>
    <row r="162" spans="1:24" x14ac:dyDescent="0.2">
      <c r="A162" s="14"/>
      <c r="B162" s="41" t="str">
        <f>IF(switch="Yes","Margin ","")&amp;"Expenses"</f>
        <v>Expenses</v>
      </c>
      <c r="C162" s="41"/>
      <c r="D162" s="551">
        <f>IFERROR(ROUND($L$122*L67,2)*-1,0)</f>
        <v>0</v>
      </c>
      <c r="E162" s="551"/>
      <c r="F162" s="551">
        <f>IFERROR(ROUND($L$122*N67,2)*-1,0)</f>
        <v>0</v>
      </c>
      <c r="G162" s="551"/>
      <c r="H162" s="551">
        <f>IFERROR(ROUND($L$122*P67,2)*-1,0)</f>
        <v>0</v>
      </c>
      <c r="I162" s="551"/>
      <c r="J162" s="551">
        <f>IFERROR(ROUND($L$122*R67,2)*-1,0)</f>
        <v>0</v>
      </c>
      <c r="K162" s="551"/>
      <c r="L162" s="572">
        <f>IF(LEFT($N$154,3)="Sel","",SUM(D162:J162))</f>
        <v>0</v>
      </c>
      <c r="M162" s="572"/>
      <c r="N162" s="9"/>
      <c r="O162" s="166"/>
      <c r="P162" s="7"/>
      <c r="Q162" s="7"/>
      <c r="R162" s="7"/>
      <c r="S162" s="158"/>
      <c r="T162" s="159"/>
      <c r="V162" s="270"/>
      <c r="W162" s="270"/>
      <c r="X162" s="277"/>
    </row>
    <row r="163" spans="1:24" x14ac:dyDescent="0.2">
      <c r="A163" s="14"/>
      <c r="B163" s="41" t="s">
        <v>81</v>
      </c>
      <c r="C163" s="41"/>
      <c r="D163" s="551" t="str">
        <f>IF(AND(ISNUMBER(L125),L125&lt;&gt;0),L125,"")</f>
        <v/>
      </c>
      <c r="E163" s="551"/>
      <c r="F163" s="552" t="str">
        <f>IFERROR(IF($B$136="yes","n/a ",$L$126*N67),"")</f>
        <v/>
      </c>
      <c r="G163" s="552"/>
      <c r="H163" s="552" t="str">
        <f>IFERROR(IF($B$136="yes","n/a ",$L$126*P67),"")</f>
        <v/>
      </c>
      <c r="I163" s="552"/>
      <c r="J163" s="552" t="str">
        <f>IFERROR(IF($B$136="yes","n/a ",$L$126*R67),"")</f>
        <v/>
      </c>
      <c r="K163" s="552"/>
      <c r="L163" s="572">
        <f>IF(LEFT($N$154,3)="Sel","",SUM(D163:J163))</f>
        <v>0</v>
      </c>
      <c r="M163" s="572"/>
      <c r="N163" s="9"/>
      <c r="O163" s="167"/>
      <c r="P163" s="7"/>
      <c r="Q163" s="7"/>
      <c r="R163" s="7"/>
      <c r="S163" s="158"/>
      <c r="T163" s="159"/>
      <c r="V163" s="270"/>
      <c r="W163" s="270"/>
      <c r="X163" s="277"/>
    </row>
    <row r="164" spans="1:24" x14ac:dyDescent="0.2">
      <c r="A164" s="14"/>
      <c r="B164" s="168" t="s">
        <v>82</v>
      </c>
      <c r="C164" s="168"/>
      <c r="D164" s="553">
        <f>IFERROR(SUM(F164:J164)*-1,"")</f>
        <v>0</v>
      </c>
      <c r="E164" s="553"/>
      <c r="F164" s="551">
        <f>IF($M$144="yes",$I$149*-1*((F161+F162)/(SUM($F$161:$K$162))),0)</f>
        <v>0</v>
      </c>
      <c r="G164" s="551"/>
      <c r="H164" s="553">
        <f>IF($M$144="yes",$I$149*-1*((H161+H162)/(SUM($F$161:$K$162))),0)</f>
        <v>0</v>
      </c>
      <c r="I164" s="553"/>
      <c r="J164" s="553">
        <f>IF($M$144="yes",$I$149*-1*((J161+J162)/(SUM($F$161:$K$162))),0)</f>
        <v>0</v>
      </c>
      <c r="K164" s="553"/>
      <c r="L164" s="573">
        <f>IF(LEFT($N$154,3)="Sel","",SUM(D164:J164))</f>
        <v>0</v>
      </c>
      <c r="M164" s="573"/>
      <c r="N164" s="9"/>
      <c r="O164" s="166"/>
      <c r="P164" s="7"/>
      <c r="Q164" s="7"/>
      <c r="R164" s="7"/>
      <c r="S164" s="158"/>
      <c r="T164" s="159"/>
      <c r="V164" s="270"/>
      <c r="W164" s="270"/>
      <c r="X164" s="276"/>
    </row>
    <row r="165" spans="1:24" x14ac:dyDescent="0.2">
      <c r="A165" s="14"/>
      <c r="B165" s="160" t="s">
        <v>83</v>
      </c>
      <c r="C165" s="160"/>
      <c r="D165" s="538">
        <f>SUM(D161:D164)</f>
        <v>0</v>
      </c>
      <c r="E165" s="538"/>
      <c r="F165" s="538">
        <f>SUM(F161:F164)</f>
        <v>0</v>
      </c>
      <c r="G165" s="538"/>
      <c r="H165" s="538">
        <f>SUM(H161:H164)</f>
        <v>0</v>
      </c>
      <c r="I165" s="538"/>
      <c r="J165" s="538">
        <f>SUM(J161:K164)</f>
        <v>0</v>
      </c>
      <c r="K165" s="538"/>
      <c r="L165" s="581">
        <f>SUM(D165:K165)</f>
        <v>0</v>
      </c>
      <c r="M165" s="581"/>
      <c r="N165" s="9"/>
      <c r="O165" s="169"/>
      <c r="P165" s="7"/>
      <c r="Q165" s="7"/>
      <c r="R165" s="7"/>
      <c r="S165" s="158"/>
      <c r="T165" s="159"/>
      <c r="V165" s="270"/>
      <c r="W165" s="270"/>
      <c r="X165" s="270"/>
    </row>
    <row r="166" spans="1:24" ht="4.5" customHeight="1" x14ac:dyDescent="0.2">
      <c r="A166" s="14"/>
      <c r="B166" s="160"/>
      <c r="C166" s="160"/>
      <c r="D166" s="169"/>
      <c r="E166" s="169"/>
      <c r="F166" s="169"/>
      <c r="G166" s="169"/>
      <c r="H166" s="169"/>
      <c r="I166" s="169"/>
      <c r="J166" s="169"/>
      <c r="K166" s="169"/>
      <c r="L166" s="170"/>
      <c r="M166" s="170"/>
      <c r="N166" s="9"/>
      <c r="O166" s="169"/>
      <c r="P166" s="7"/>
      <c r="Q166" s="7"/>
      <c r="R166" s="7"/>
      <c r="S166" s="158"/>
      <c r="T166" s="159"/>
      <c r="V166" s="270"/>
      <c r="W166" s="270"/>
      <c r="X166" s="270"/>
    </row>
    <row r="167" spans="1:24" x14ac:dyDescent="0.2">
      <c r="A167" s="14"/>
      <c r="B167" s="41" t="str">
        <f>IF(AND(ISNUMBER(L123),L123&lt;&gt;0),"Unallowable Exps.","")</f>
        <v/>
      </c>
      <c r="C167" s="41"/>
      <c r="D167" s="552" t="str">
        <f>IF(AND(ISNUMBER(L123),L123&lt;&gt;0),E145*-1,"")</f>
        <v/>
      </c>
      <c r="E167" s="552"/>
      <c r="F167" s="552" t="str">
        <f>IF(AND(ISNUMBER(L123),L123&lt;&gt;0),($I$145*-1)*(F165/SUM($F$165:$K$165)),"")</f>
        <v/>
      </c>
      <c r="G167" s="552"/>
      <c r="H167" s="552" t="str">
        <f>IF(AND(ISNUMBER(L123),L123&lt;&gt;0),($I$145*-1)*(H165/SUM($F$165:$K$165)),"")</f>
        <v/>
      </c>
      <c r="I167" s="552"/>
      <c r="J167" s="552" t="str">
        <f>IF(AND(ISNUMBER(L123),L123&lt;&gt;0),($I$145*-1)*(J165/SUM($F$165:$K$165)),"")</f>
        <v/>
      </c>
      <c r="K167" s="552"/>
      <c r="L167" s="572" t="str">
        <f>IF(AND(ISNUMBER(L123),L123&lt;&gt;0),IF(LEFT($N$154,3)="Sel","",L123*-1),"")</f>
        <v/>
      </c>
      <c r="M167" s="572"/>
      <c r="N167" s="9"/>
      <c r="O167" s="167"/>
      <c r="P167" s="7"/>
      <c r="Q167" s="7"/>
      <c r="R167" s="7"/>
      <c r="S167" s="158"/>
      <c r="T167" s="159"/>
      <c r="V167" s="270"/>
      <c r="W167" s="270"/>
      <c r="X167" s="277"/>
    </row>
    <row r="168" spans="1:24" ht="4.5" customHeight="1" x14ac:dyDescent="0.2">
      <c r="A168" s="14"/>
      <c r="B168" s="160"/>
      <c r="C168" s="160"/>
      <c r="D168" s="157"/>
      <c r="E168" s="157"/>
      <c r="F168" s="157"/>
      <c r="G168" s="157"/>
      <c r="H168" s="161"/>
      <c r="I168" s="161"/>
      <c r="L168" s="578"/>
      <c r="M168" s="578"/>
      <c r="N168" s="9"/>
      <c r="P168" s="7"/>
      <c r="Q168" s="7"/>
      <c r="R168" s="7"/>
      <c r="S168" s="158"/>
      <c r="T168" s="159"/>
      <c r="V168" s="270"/>
      <c r="W168" s="270"/>
      <c r="X168" s="270"/>
    </row>
    <row r="169" spans="1:24" x14ac:dyDescent="0.2">
      <c r="A169" s="14"/>
      <c r="B169" s="41" t="str">
        <f>IF(switch="no","","Net result of inventory (sold minus purchased)")</f>
        <v/>
      </c>
      <c r="C169" s="160"/>
      <c r="D169" s="157"/>
      <c r="E169" s="157"/>
      <c r="F169" s="157"/>
      <c r="G169" s="157"/>
      <c r="H169" s="161"/>
      <c r="I169" s="161"/>
      <c r="L169" s="578" t="str">
        <f>IF(switch="no","",F64+F66*-1)</f>
        <v/>
      </c>
      <c r="M169" s="578"/>
      <c r="N169" s="34" t="str">
        <f>IF(switch="no",IF(ISERROR(ROUND(L169/(($L$122*$L$67)/365),0)),"",ROUND(L169/(($L$122*$L$67)/365),0)&amp;" days' internal reserve"),"")</f>
        <v/>
      </c>
      <c r="P169" s="7"/>
      <c r="Q169" s="7"/>
      <c r="R169" s="7"/>
      <c r="S169" s="158"/>
      <c r="T169" s="159"/>
      <c r="V169" s="270"/>
      <c r="W169" s="270"/>
      <c r="X169" s="270"/>
    </row>
    <row r="170" spans="1:24" ht="4.5" customHeight="1" x14ac:dyDescent="0.2">
      <c r="A170" s="14"/>
      <c r="B170" s="41"/>
      <c r="C170" s="160"/>
      <c r="D170" s="157"/>
      <c r="E170" s="157"/>
      <c r="F170" s="157"/>
      <c r="G170" s="157"/>
      <c r="H170" s="161"/>
      <c r="I170" s="161"/>
      <c r="L170" s="171"/>
      <c r="M170" s="171"/>
      <c r="N170" s="34"/>
      <c r="P170" s="7"/>
      <c r="Q170" s="7"/>
      <c r="R170" s="7"/>
      <c r="S170" s="158"/>
      <c r="T170" s="159"/>
      <c r="V170" s="270"/>
      <c r="W170" s="270"/>
      <c r="X170" s="270"/>
    </row>
    <row r="171" spans="1:24" x14ac:dyDescent="0.2">
      <c r="A171" s="14"/>
      <c r="B171" s="160" t="s">
        <v>118</v>
      </c>
      <c r="C171" s="23"/>
      <c r="D171" s="157"/>
      <c r="E171" s="157"/>
      <c r="F171" s="157"/>
      <c r="G171" s="157"/>
      <c r="H171" s="161"/>
      <c r="I171" s="161"/>
      <c r="L171" s="572">
        <f>IF(LEFT(N154,3)="Sel","",L155+L165+IF(L167="",0,L167)+IF(L169="",0,L169))</f>
        <v>0</v>
      </c>
      <c r="M171" s="572"/>
      <c r="N171" s="34" t="str">
        <f>IF(ISERROR(ROUND(L171/(($L$122*$L$67)/365),0)),"",ROUND(L171/(($L$122*$L$67)/365),0)&amp;" days' internal reserve")</f>
        <v/>
      </c>
      <c r="P171" s="7"/>
      <c r="Q171" s="7"/>
      <c r="R171" s="7"/>
      <c r="S171" s="158"/>
      <c r="T171" s="159"/>
      <c r="V171" s="278"/>
      <c r="W171" s="278"/>
      <c r="X171" s="278"/>
    </row>
    <row r="172" spans="1:24" x14ac:dyDescent="0.2">
      <c r="A172" s="14"/>
      <c r="B172" s="23" t="s">
        <v>131</v>
      </c>
      <c r="C172" s="23"/>
      <c r="D172" s="157"/>
      <c r="E172" s="157"/>
      <c r="F172" s="157"/>
      <c r="G172" s="157"/>
      <c r="H172" s="161"/>
      <c r="I172" s="161"/>
      <c r="L172" s="578">
        <f>IF(LEFT(N154,3)="Sel","",IF(B136="no",0,MAX(0,SUM(F165:K165,I145*-1))*-1))</f>
        <v>0</v>
      </c>
      <c r="M172" s="578"/>
      <c r="P172" s="7"/>
      <c r="Q172" s="7"/>
      <c r="R172" s="7"/>
      <c r="S172" s="158"/>
      <c r="T172" s="159"/>
      <c r="V172" s="278"/>
      <c r="W172" s="278"/>
      <c r="X172" s="278"/>
    </row>
    <row r="173" spans="1:24" x14ac:dyDescent="0.2">
      <c r="A173" s="14"/>
      <c r="B173" s="23" t="s">
        <v>130</v>
      </c>
      <c r="C173" s="23"/>
      <c r="D173" s="157"/>
      <c r="E173" s="157"/>
      <c r="F173" s="157"/>
      <c r="G173" s="157"/>
      <c r="H173" s="161"/>
      <c r="I173" s="161"/>
      <c r="L173" s="612"/>
      <c r="M173" s="612"/>
      <c r="P173" s="7"/>
      <c r="Q173" s="7"/>
      <c r="R173" s="7"/>
      <c r="S173" s="158"/>
      <c r="T173" s="159"/>
      <c r="V173" s="278"/>
      <c r="W173" s="278"/>
      <c r="X173" s="278"/>
    </row>
    <row r="174" spans="1:24" x14ac:dyDescent="0.2">
      <c r="A174" s="14"/>
      <c r="B174" s="160" t="s">
        <v>119</v>
      </c>
      <c r="C174" s="160"/>
      <c r="D174" s="157"/>
      <c r="E174" s="157"/>
      <c r="F174" s="157"/>
      <c r="G174" s="157"/>
      <c r="H174" s="161"/>
      <c r="I174" s="161"/>
      <c r="L174" s="572">
        <f>IF(LEFT(N154,3)="Sel","",L171+L172+L173)</f>
        <v>0</v>
      </c>
      <c r="M174" s="572"/>
      <c r="N174" s="34" t="str">
        <f>IF(ISERROR(ROUND(L174/(($L$122*L67)/365),0)),"",ROUND(L174/(($L$122*L67)/365),0)&amp;" days' internal reserve")</f>
        <v/>
      </c>
      <c r="P174" s="7"/>
      <c r="Q174" s="7"/>
      <c r="R174" s="7"/>
      <c r="S174" s="158"/>
      <c r="T174" s="159"/>
      <c r="V174" s="270"/>
      <c r="W174" s="270"/>
      <c r="X174" s="270"/>
    </row>
    <row r="175" spans="1:24" x14ac:dyDescent="0.2">
      <c r="A175" s="14"/>
      <c r="B175" s="41"/>
      <c r="C175" s="160"/>
      <c r="D175" s="157"/>
      <c r="E175" s="157"/>
      <c r="F175" s="157"/>
      <c r="G175" s="157"/>
      <c r="H175" s="161"/>
      <c r="I175" s="161"/>
      <c r="L175" s="170"/>
      <c r="M175" s="170"/>
      <c r="N175" s="34"/>
      <c r="P175" s="7"/>
      <c r="Q175" s="7"/>
      <c r="R175" s="7"/>
      <c r="S175" s="158"/>
      <c r="T175" s="159"/>
      <c r="V175" s="270"/>
      <c r="W175" s="270"/>
      <c r="X175" s="270"/>
    </row>
    <row r="176" spans="1:24" ht="4.5" customHeight="1" x14ac:dyDescent="0.2">
      <c r="A176" s="14"/>
      <c r="B176" s="160"/>
      <c r="C176" s="160"/>
      <c r="D176" s="157"/>
      <c r="E176" s="157"/>
      <c r="F176" s="157"/>
      <c r="G176" s="157"/>
      <c r="H176" s="161"/>
      <c r="I176" s="161"/>
      <c r="L176" s="578"/>
      <c r="M176" s="578"/>
      <c r="P176" s="7"/>
      <c r="Q176" s="163"/>
      <c r="R176" s="7"/>
      <c r="S176" s="158"/>
      <c r="T176" s="159"/>
      <c r="V176" s="270"/>
      <c r="W176" s="270"/>
      <c r="X176" s="270"/>
    </row>
    <row r="177" spans="1:25" x14ac:dyDescent="0.2">
      <c r="A177" s="14"/>
      <c r="B177" s="160" t="s">
        <v>78</v>
      </c>
      <c r="C177" s="160"/>
      <c r="D177" s="157"/>
      <c r="E177" s="157"/>
      <c r="F177" s="157"/>
      <c r="G177" s="157"/>
      <c r="L177" s="613">
        <f>MAX(0,SUM(L155,L161:L164)*-1)</f>
        <v>0</v>
      </c>
      <c r="M177" s="613"/>
      <c r="P177" s="7"/>
      <c r="Q177" s="7"/>
      <c r="R177" s="7"/>
      <c r="S177" s="161"/>
      <c r="T177" s="172"/>
      <c r="V177" s="270"/>
      <c r="W177" s="270"/>
      <c r="X177" s="270"/>
    </row>
    <row r="178" spans="1:25" x14ac:dyDescent="0.2">
      <c r="A178" s="14"/>
      <c r="B178" s="607" t="str">
        <f>IF(L177&lt;&gt;0,"Add departmental subsidies in step 5, increase one or more rates, or identify a funding source (plant funds, etc) for implied subsidies.","")</f>
        <v/>
      </c>
      <c r="C178" s="607"/>
      <c r="D178" s="607"/>
      <c r="E178" s="607"/>
      <c r="F178" s="607"/>
      <c r="G178" s="607"/>
      <c r="H178" s="607"/>
      <c r="I178" s="607"/>
      <c r="J178" s="607"/>
      <c r="K178" s="607"/>
      <c r="L178" s="607"/>
      <c r="M178" s="607"/>
      <c r="N178" s="607"/>
      <c r="O178" s="607"/>
      <c r="P178" s="607"/>
      <c r="Q178" s="607"/>
      <c r="R178" s="607"/>
      <c r="S178" s="607"/>
      <c r="T178" s="173"/>
    </row>
    <row r="179" spans="1:25" x14ac:dyDescent="0.2">
      <c r="A179" s="14"/>
      <c r="B179" s="608"/>
      <c r="C179" s="608"/>
      <c r="D179" s="608"/>
      <c r="E179" s="608"/>
      <c r="F179" s="608"/>
      <c r="G179" s="608"/>
      <c r="H179" s="608"/>
      <c r="I179" s="608"/>
      <c r="J179" s="608"/>
      <c r="K179" s="608"/>
      <c r="L179" s="608"/>
      <c r="M179" s="608"/>
      <c r="N179" s="608"/>
      <c r="O179" s="608"/>
      <c r="P179" s="608"/>
      <c r="Q179" s="608"/>
      <c r="R179" s="608"/>
      <c r="S179" s="608"/>
      <c r="T179" s="174"/>
    </row>
    <row r="180" spans="1:25" x14ac:dyDescent="0.2">
      <c r="A180" s="14"/>
      <c r="B180" s="608"/>
      <c r="C180" s="608"/>
      <c r="D180" s="608"/>
      <c r="E180" s="608"/>
      <c r="F180" s="608"/>
      <c r="G180" s="608"/>
      <c r="H180" s="608"/>
      <c r="I180" s="608"/>
      <c r="J180" s="608"/>
      <c r="K180" s="608"/>
      <c r="L180" s="608"/>
      <c r="M180" s="608"/>
      <c r="N180" s="608"/>
      <c r="O180" s="608"/>
      <c r="P180" s="608"/>
      <c r="Q180" s="608"/>
      <c r="R180" s="608"/>
      <c r="S180" s="608"/>
      <c r="T180" s="174"/>
    </row>
    <row r="181" spans="1:25" ht="4.5" customHeight="1" thickBot="1" x14ac:dyDescent="0.25">
      <c r="A181" s="29"/>
      <c r="B181" s="30"/>
      <c r="C181" s="30"/>
      <c r="D181" s="30"/>
      <c r="E181" s="30"/>
      <c r="F181" s="30"/>
      <c r="G181" s="30"/>
      <c r="H181" s="30"/>
      <c r="I181" s="30"/>
      <c r="J181" s="30"/>
      <c r="K181" s="30"/>
      <c r="L181" s="30"/>
      <c r="M181" s="30"/>
      <c r="N181" s="30"/>
      <c r="O181" s="30"/>
      <c r="P181" s="89"/>
      <c r="Q181" s="89"/>
      <c r="R181" s="88"/>
      <c r="S181" s="88"/>
      <c r="T181" s="32"/>
    </row>
    <row r="182" spans="1:25" ht="4.5" customHeight="1" x14ac:dyDescent="0.2">
      <c r="A182" s="175"/>
    </row>
    <row r="183" spans="1:25" s="175" customFormat="1" ht="14.25" customHeight="1" x14ac:dyDescent="0.2">
      <c r="A183" s="600" t="s">
        <v>34</v>
      </c>
      <c r="B183" s="600"/>
      <c r="C183" s="600"/>
      <c r="D183" s="600"/>
      <c r="E183" s="600"/>
      <c r="F183" s="600"/>
      <c r="G183" s="600"/>
      <c r="H183" s="600"/>
      <c r="I183" s="600"/>
      <c r="J183" s="600"/>
      <c r="K183" s="600"/>
      <c r="L183" s="600"/>
      <c r="M183" s="600"/>
      <c r="N183" s="600"/>
      <c r="O183" s="600"/>
      <c r="P183" s="600"/>
      <c r="Q183" s="600"/>
      <c r="R183" s="600"/>
      <c r="S183" s="600"/>
      <c r="T183" s="600"/>
      <c r="V183" s="279"/>
      <c r="W183" s="279"/>
      <c r="X183" s="279"/>
      <c r="Y183" s="7"/>
    </row>
    <row r="184" spans="1:25" s="175" customFormat="1" x14ac:dyDescent="0.2">
      <c r="A184" s="176"/>
      <c r="B184" s="176"/>
      <c r="C184" s="176"/>
      <c r="D184" s="176"/>
      <c r="E184" s="176"/>
      <c r="F184" s="176"/>
      <c r="G184" s="176"/>
      <c r="H184" s="176"/>
      <c r="I184" s="176"/>
      <c r="J184" s="176"/>
      <c r="K184" s="176"/>
      <c r="L184" s="176"/>
      <c r="M184" s="176"/>
      <c r="N184" s="176"/>
      <c r="O184" s="176"/>
      <c r="P184" s="176"/>
      <c r="Q184" s="176"/>
      <c r="R184" s="176"/>
      <c r="S184" s="402" t="s">
        <v>242</v>
      </c>
      <c r="T184" s="176"/>
      <c r="V184" s="279"/>
      <c r="W184" s="279"/>
      <c r="X184" s="279"/>
      <c r="Y184" s="7"/>
    </row>
    <row r="185" spans="1:25" s="175" customFormat="1" x14ac:dyDescent="0.2">
      <c r="B185" s="34" t="s">
        <v>67</v>
      </c>
      <c r="C185" s="34"/>
      <c r="D185" s="34"/>
      <c r="E185" s="34"/>
      <c r="F185" s="34"/>
      <c r="G185" s="34"/>
      <c r="H185" s="34"/>
      <c r="I185" s="34"/>
      <c r="J185" s="7"/>
      <c r="K185" s="7"/>
      <c r="L185" s="7"/>
      <c r="M185" s="7"/>
      <c r="N185" s="7"/>
      <c r="O185" s="7"/>
      <c r="P185" s="9"/>
      <c r="Q185" s="9"/>
      <c r="R185" s="10"/>
      <c r="S185" s="402"/>
      <c r="T185" s="10"/>
      <c r="V185" s="279"/>
      <c r="W185" s="279"/>
      <c r="X185" s="279"/>
      <c r="Y185" s="7"/>
    </row>
    <row r="186" spans="1:25" s="175" customFormat="1" ht="51" customHeight="1" x14ac:dyDescent="0.2">
      <c r="A186" s="7"/>
      <c r="B186" s="601"/>
      <c r="C186" s="602"/>
      <c r="D186" s="602"/>
      <c r="E186" s="602"/>
      <c r="F186" s="602"/>
      <c r="G186" s="602"/>
      <c r="H186" s="602"/>
      <c r="I186" s="602"/>
      <c r="J186" s="603"/>
      <c r="K186" s="603"/>
      <c r="L186" s="603"/>
      <c r="M186" s="603"/>
      <c r="N186" s="603"/>
      <c r="O186" s="603"/>
      <c r="P186" s="603"/>
      <c r="Q186" s="603"/>
      <c r="R186" s="603"/>
      <c r="S186" s="604"/>
      <c r="T186" s="177"/>
      <c r="V186" s="258"/>
      <c r="W186" s="279"/>
      <c r="X186" s="279"/>
    </row>
    <row r="187" spans="1:25" ht="3.75" customHeight="1" x14ac:dyDescent="0.2">
      <c r="B187" s="178"/>
      <c r="C187" s="178"/>
      <c r="D187" s="178"/>
      <c r="E187" s="178"/>
      <c r="F187" s="178"/>
      <c r="G187" s="178"/>
      <c r="H187" s="178"/>
      <c r="I187" s="178"/>
      <c r="J187" s="178"/>
      <c r="K187" s="178"/>
      <c r="L187" s="178"/>
      <c r="M187" s="178"/>
      <c r="N187" s="178"/>
      <c r="O187" s="178"/>
      <c r="P187" s="178"/>
      <c r="Q187" s="178"/>
      <c r="R187" s="178"/>
      <c r="S187" s="178"/>
      <c r="T187" s="178"/>
    </row>
    <row r="188" spans="1:25" x14ac:dyDescent="0.2">
      <c r="B188" s="178"/>
      <c r="C188" s="178"/>
      <c r="D188" s="178"/>
      <c r="E188" s="178"/>
      <c r="F188" s="178"/>
      <c r="G188" s="178"/>
      <c r="H188" s="178"/>
      <c r="I188" s="178"/>
      <c r="J188" s="178"/>
      <c r="K188" s="178"/>
      <c r="L188" s="178"/>
      <c r="M188" s="178"/>
      <c r="N188" s="178"/>
      <c r="O188" s="178"/>
      <c r="P188" s="178"/>
      <c r="Q188" s="178"/>
      <c r="R188" s="178"/>
      <c r="S188" s="178"/>
      <c r="T188" s="178"/>
      <c r="U188" s="178"/>
      <c r="V188" s="280"/>
      <c r="W188" s="280"/>
      <c r="X188" s="280"/>
    </row>
    <row r="189" spans="1:25" x14ac:dyDescent="0.2">
      <c r="B189" s="178"/>
      <c r="C189" s="178"/>
      <c r="D189" s="178"/>
      <c r="E189" s="178"/>
      <c r="F189" s="178"/>
      <c r="G189" s="178"/>
      <c r="H189" s="178"/>
      <c r="I189" s="178"/>
      <c r="J189" s="178"/>
      <c r="K189" s="178"/>
      <c r="L189" s="178"/>
      <c r="M189" s="178"/>
      <c r="N189" s="178"/>
      <c r="O189" s="178"/>
      <c r="P189" s="178"/>
      <c r="Q189" s="178"/>
      <c r="R189" s="178"/>
      <c r="S189" s="178"/>
      <c r="T189" s="178"/>
      <c r="U189" s="178"/>
      <c r="V189" s="280"/>
      <c r="W189" s="280"/>
      <c r="X189" s="280"/>
    </row>
    <row r="190" spans="1:25" x14ac:dyDescent="0.2">
      <c r="B190" s="178"/>
      <c r="C190" s="178"/>
      <c r="D190" s="178"/>
      <c r="E190" s="178"/>
      <c r="F190" s="178"/>
      <c r="G190" s="178"/>
      <c r="H190" s="178"/>
      <c r="I190" s="178"/>
      <c r="J190" s="178"/>
      <c r="K190" s="178"/>
      <c r="L190" s="178"/>
      <c r="M190" s="178"/>
      <c r="N190" s="178"/>
      <c r="O190" s="178"/>
      <c r="P190" s="178"/>
      <c r="Q190" s="178"/>
      <c r="R190" s="178"/>
      <c r="S190" s="178"/>
      <c r="T190" s="178"/>
      <c r="U190" s="178"/>
      <c r="V190" s="280"/>
      <c r="W190" s="280"/>
      <c r="X190" s="280"/>
    </row>
    <row r="191" spans="1:25" x14ac:dyDescent="0.2">
      <c r="B191" s="178"/>
      <c r="C191" s="178"/>
      <c r="D191" s="178"/>
      <c r="E191" s="178"/>
      <c r="F191" s="178"/>
      <c r="G191" s="178"/>
      <c r="H191" s="178"/>
      <c r="I191" s="178"/>
      <c r="J191" s="178"/>
      <c r="K191" s="178"/>
      <c r="L191" s="178"/>
      <c r="M191" s="178"/>
      <c r="N191" s="178"/>
      <c r="O191" s="178"/>
      <c r="P191" s="178"/>
      <c r="Q191" s="178"/>
      <c r="R191" s="178"/>
      <c r="S191" s="178"/>
      <c r="T191" s="178"/>
      <c r="U191" s="178"/>
      <c r="V191" s="280"/>
      <c r="W191" s="280"/>
      <c r="X191" s="280"/>
    </row>
    <row r="192" spans="1:25" x14ac:dyDescent="0.2">
      <c r="B192" s="178"/>
      <c r="C192" s="178"/>
      <c r="D192" s="178"/>
      <c r="E192" s="178"/>
      <c r="F192" s="178"/>
      <c r="G192" s="178"/>
      <c r="H192" s="178"/>
      <c r="I192" s="178"/>
      <c r="J192" s="178"/>
      <c r="K192" s="178"/>
      <c r="L192" s="178"/>
      <c r="M192" s="178"/>
      <c r="N192" s="178"/>
      <c r="O192" s="178"/>
      <c r="P192" s="178"/>
      <c r="Q192" s="178"/>
      <c r="R192" s="178"/>
      <c r="S192" s="178"/>
      <c r="T192" s="178"/>
      <c r="U192" s="178"/>
      <c r="V192" s="280"/>
      <c r="W192" s="280"/>
      <c r="X192" s="280"/>
    </row>
    <row r="193" spans="2:24" x14ac:dyDescent="0.2">
      <c r="B193" s="178"/>
      <c r="C193" s="178"/>
      <c r="D193" s="178"/>
      <c r="E193" s="178"/>
      <c r="F193" s="178"/>
      <c r="G193" s="178"/>
      <c r="H193" s="178"/>
      <c r="I193" s="178"/>
      <c r="J193" s="178"/>
      <c r="K193" s="178"/>
      <c r="L193" s="178"/>
      <c r="M193" s="178"/>
      <c r="N193" s="178"/>
      <c r="O193" s="178"/>
      <c r="P193" s="178"/>
      <c r="Q193" s="178"/>
      <c r="R193" s="178"/>
      <c r="S193" s="178"/>
      <c r="T193" s="178"/>
      <c r="U193" s="178"/>
      <c r="V193" s="280"/>
      <c r="W193" s="280"/>
      <c r="X193" s="280"/>
    </row>
    <row r="194" spans="2:24" x14ac:dyDescent="0.2">
      <c r="B194" s="178"/>
      <c r="C194" s="178"/>
      <c r="D194" s="178"/>
      <c r="E194" s="178"/>
      <c r="F194" s="178"/>
      <c r="G194" s="178"/>
      <c r="H194" s="178"/>
      <c r="I194" s="178"/>
      <c r="J194" s="178"/>
      <c r="K194" s="178"/>
      <c r="L194" s="178"/>
      <c r="M194" s="178"/>
      <c r="N194" s="178"/>
      <c r="O194" s="178"/>
      <c r="P194" s="178"/>
      <c r="Q194" s="178"/>
      <c r="R194" s="178"/>
      <c r="S194" s="178"/>
      <c r="T194" s="178"/>
      <c r="U194" s="178"/>
      <c r="V194" s="280"/>
      <c r="W194" s="280"/>
      <c r="X194" s="280"/>
    </row>
    <row r="195" spans="2:24" x14ac:dyDescent="0.2">
      <c r="B195" s="178"/>
      <c r="C195" s="178"/>
      <c r="D195" s="178"/>
      <c r="E195" s="178"/>
      <c r="F195" s="178"/>
      <c r="G195" s="178"/>
      <c r="H195" s="178"/>
      <c r="I195" s="178"/>
      <c r="J195" s="178"/>
      <c r="K195" s="178"/>
      <c r="L195" s="178"/>
      <c r="M195" s="178"/>
      <c r="N195" s="178"/>
      <c r="O195" s="178"/>
      <c r="P195" s="178"/>
      <c r="Q195" s="178"/>
      <c r="R195" s="178"/>
      <c r="S195" s="178"/>
      <c r="T195" s="178"/>
      <c r="U195" s="178"/>
      <c r="V195" s="280"/>
      <c r="W195" s="280"/>
      <c r="X195" s="280"/>
    </row>
    <row r="196" spans="2:24" x14ac:dyDescent="0.2">
      <c r="B196" s="178"/>
      <c r="C196" s="178"/>
      <c r="D196" s="178"/>
      <c r="E196" s="178"/>
      <c r="F196" s="178"/>
      <c r="G196" s="178"/>
      <c r="H196" s="178"/>
      <c r="I196" s="178"/>
      <c r="J196" s="178"/>
      <c r="K196" s="178"/>
      <c r="L196" s="178"/>
      <c r="M196" s="178"/>
      <c r="N196" s="178"/>
      <c r="O196" s="178"/>
      <c r="P196" s="178"/>
      <c r="Q196" s="178"/>
      <c r="R196" s="178"/>
      <c r="S196" s="178"/>
      <c r="T196" s="178"/>
      <c r="U196" s="178"/>
      <c r="V196" s="280"/>
      <c r="W196" s="280"/>
      <c r="X196" s="280"/>
    </row>
    <row r="197" spans="2:24" x14ac:dyDescent="0.2">
      <c r="B197" s="178"/>
      <c r="C197" s="178"/>
      <c r="D197" s="178"/>
      <c r="E197" s="178"/>
      <c r="F197" s="178"/>
      <c r="G197" s="178"/>
      <c r="H197" s="178"/>
      <c r="I197" s="178"/>
      <c r="J197" s="178"/>
      <c r="K197" s="178"/>
      <c r="L197" s="178"/>
      <c r="M197" s="178"/>
      <c r="N197" s="178"/>
      <c r="O197" s="178"/>
      <c r="P197" s="178"/>
      <c r="Q197" s="178"/>
      <c r="R197" s="178"/>
      <c r="S197" s="178"/>
      <c r="T197" s="178"/>
      <c r="U197" s="178"/>
      <c r="V197" s="280"/>
      <c r="W197" s="280"/>
      <c r="X197" s="280"/>
    </row>
    <row r="198" spans="2:24" x14ac:dyDescent="0.2">
      <c r="B198" s="178"/>
      <c r="C198" s="178"/>
      <c r="D198" s="178"/>
      <c r="E198" s="178"/>
      <c r="F198" s="178"/>
      <c r="G198" s="178"/>
      <c r="H198" s="178"/>
      <c r="I198" s="178"/>
      <c r="J198" s="178"/>
      <c r="K198" s="178"/>
      <c r="L198" s="178"/>
      <c r="M198" s="178"/>
      <c r="N198" s="178"/>
      <c r="O198" s="178"/>
      <c r="P198" s="178"/>
      <c r="Q198" s="178"/>
      <c r="R198" s="178"/>
      <c r="S198" s="178"/>
      <c r="T198" s="178"/>
      <c r="U198" s="178"/>
      <c r="V198" s="280"/>
      <c r="W198" s="280"/>
      <c r="X198" s="280"/>
    </row>
    <row r="199" spans="2:24" x14ac:dyDescent="0.2">
      <c r="B199" s="178"/>
      <c r="C199" s="178"/>
      <c r="D199" s="178"/>
      <c r="E199" s="178"/>
      <c r="F199" s="178"/>
      <c r="G199" s="178"/>
      <c r="H199" s="178"/>
      <c r="I199" s="178"/>
      <c r="J199" s="178"/>
      <c r="K199" s="178"/>
      <c r="L199" s="178"/>
      <c r="M199" s="178"/>
      <c r="N199" s="178"/>
      <c r="O199" s="178"/>
      <c r="P199" s="178"/>
      <c r="Q199" s="178"/>
      <c r="R199" s="178"/>
      <c r="S199" s="178"/>
      <c r="T199" s="178"/>
      <c r="U199" s="178"/>
      <c r="V199" s="280"/>
      <c r="W199" s="280"/>
      <c r="X199" s="280"/>
    </row>
    <row r="200" spans="2:24" x14ac:dyDescent="0.2">
      <c r="B200" s="178"/>
      <c r="C200" s="178"/>
      <c r="D200" s="178"/>
      <c r="E200" s="178"/>
      <c r="F200" s="178"/>
      <c r="G200" s="178"/>
      <c r="H200" s="178"/>
      <c r="I200" s="178"/>
      <c r="J200" s="178"/>
      <c r="K200" s="178"/>
      <c r="L200" s="178"/>
      <c r="M200" s="178"/>
      <c r="N200" s="178"/>
      <c r="O200" s="178"/>
      <c r="P200" s="178"/>
      <c r="Q200" s="178"/>
      <c r="R200" s="178"/>
      <c r="S200" s="178"/>
      <c r="T200" s="178"/>
      <c r="U200" s="178"/>
      <c r="V200" s="280"/>
      <c r="W200" s="280"/>
      <c r="X200" s="280"/>
    </row>
    <row r="201" spans="2:24" x14ac:dyDescent="0.2">
      <c r="B201" s="178"/>
      <c r="C201" s="178"/>
      <c r="D201" s="178"/>
      <c r="E201" s="178"/>
      <c r="F201" s="178"/>
      <c r="G201" s="178"/>
      <c r="H201" s="178"/>
      <c r="I201" s="178"/>
      <c r="J201" s="178"/>
      <c r="K201" s="178"/>
      <c r="L201" s="178"/>
      <c r="M201" s="178"/>
      <c r="N201" s="178"/>
      <c r="O201" s="178"/>
      <c r="P201" s="178"/>
      <c r="Q201" s="178"/>
      <c r="R201" s="178"/>
      <c r="S201" s="178"/>
      <c r="T201" s="178"/>
      <c r="U201" s="178"/>
      <c r="V201" s="280"/>
      <c r="W201" s="280"/>
      <c r="X201" s="280"/>
    </row>
    <row r="202" spans="2:24" x14ac:dyDescent="0.2">
      <c r="B202" s="178"/>
      <c r="C202" s="178"/>
      <c r="D202" s="178"/>
      <c r="E202" s="178"/>
      <c r="F202" s="178"/>
      <c r="G202" s="178"/>
      <c r="H202" s="178"/>
      <c r="I202" s="178"/>
      <c r="J202" s="178"/>
      <c r="K202" s="178"/>
      <c r="L202" s="178"/>
      <c r="M202" s="178"/>
      <c r="N202" s="178"/>
      <c r="O202" s="178"/>
      <c r="P202" s="178"/>
      <c r="Q202" s="178"/>
      <c r="R202" s="178"/>
      <c r="S202" s="178"/>
      <c r="T202" s="178"/>
      <c r="U202" s="178"/>
      <c r="V202" s="280"/>
      <c r="W202" s="280"/>
      <c r="X202" s="280"/>
    </row>
    <row r="203" spans="2:24" x14ac:dyDescent="0.2">
      <c r="B203" s="178"/>
      <c r="C203" s="178"/>
      <c r="D203" s="178"/>
      <c r="E203" s="178"/>
      <c r="F203" s="178"/>
      <c r="G203" s="178"/>
      <c r="H203" s="178"/>
      <c r="I203" s="178"/>
      <c r="J203" s="178"/>
      <c r="K203" s="178"/>
      <c r="L203" s="178"/>
      <c r="M203" s="178"/>
      <c r="N203" s="178"/>
      <c r="O203" s="178"/>
      <c r="P203" s="178"/>
      <c r="Q203" s="178"/>
      <c r="R203" s="178"/>
      <c r="S203" s="178"/>
      <c r="T203" s="178"/>
      <c r="U203" s="178"/>
      <c r="V203" s="280"/>
      <c r="W203" s="280"/>
      <c r="X203" s="280"/>
    </row>
    <row r="204" spans="2:24" x14ac:dyDescent="0.2">
      <c r="B204" s="178"/>
      <c r="C204" s="178"/>
      <c r="D204" s="178"/>
      <c r="E204" s="178"/>
      <c r="F204" s="178"/>
      <c r="G204" s="178"/>
      <c r="H204" s="178"/>
      <c r="I204" s="178"/>
      <c r="J204" s="178"/>
      <c r="K204" s="178"/>
      <c r="L204" s="178"/>
      <c r="M204" s="178"/>
      <c r="N204" s="178"/>
      <c r="O204" s="178"/>
      <c r="P204" s="178"/>
      <c r="Q204" s="178"/>
      <c r="R204" s="178"/>
      <c r="S204" s="178"/>
      <c r="T204" s="178"/>
      <c r="U204" s="178"/>
      <c r="V204" s="280"/>
      <c r="W204" s="280"/>
      <c r="X204" s="280"/>
    </row>
    <row r="205" spans="2:24" x14ac:dyDescent="0.2">
      <c r="B205" s="178"/>
      <c r="C205" s="178"/>
      <c r="D205" s="178"/>
      <c r="E205" s="178"/>
      <c r="F205" s="178"/>
      <c r="G205" s="178"/>
      <c r="H205" s="178"/>
      <c r="I205" s="178"/>
      <c r="J205" s="178"/>
      <c r="K205" s="178"/>
      <c r="L205" s="178"/>
      <c r="M205" s="178"/>
      <c r="N205" s="178"/>
      <c r="O205" s="178"/>
      <c r="P205" s="178"/>
      <c r="Q205" s="178"/>
      <c r="R205" s="178"/>
      <c r="S205" s="178"/>
      <c r="T205" s="178"/>
      <c r="U205" s="178"/>
      <c r="V205" s="280"/>
      <c r="W205" s="280"/>
      <c r="X205" s="280"/>
    </row>
    <row r="206" spans="2:24" x14ac:dyDescent="0.2">
      <c r="B206" s="178"/>
      <c r="C206" s="178"/>
      <c r="D206" s="178"/>
      <c r="E206" s="178"/>
      <c r="F206" s="178"/>
      <c r="G206" s="178"/>
      <c r="H206" s="178"/>
      <c r="I206" s="178"/>
      <c r="J206" s="178"/>
      <c r="K206" s="178"/>
      <c r="L206" s="178"/>
      <c r="M206" s="178"/>
      <c r="N206" s="178"/>
      <c r="O206" s="178"/>
      <c r="P206" s="178"/>
      <c r="Q206" s="178"/>
      <c r="R206" s="178"/>
      <c r="S206" s="178"/>
      <c r="T206" s="178"/>
      <c r="U206" s="178"/>
      <c r="V206" s="280"/>
      <c r="W206" s="280"/>
      <c r="X206" s="280"/>
    </row>
    <row r="207" spans="2:24" x14ac:dyDescent="0.2">
      <c r="B207" s="178"/>
      <c r="C207" s="178"/>
      <c r="D207" s="178"/>
      <c r="E207" s="178"/>
      <c r="F207" s="178"/>
      <c r="G207" s="178"/>
      <c r="H207" s="178"/>
      <c r="I207" s="178"/>
      <c r="J207" s="178"/>
      <c r="K207" s="178"/>
      <c r="L207" s="178"/>
      <c r="M207" s="178"/>
      <c r="N207" s="178"/>
      <c r="O207" s="178"/>
      <c r="P207" s="178"/>
      <c r="Q207" s="178"/>
      <c r="R207" s="178"/>
      <c r="S207" s="178"/>
      <c r="T207" s="178"/>
      <c r="U207" s="178"/>
      <c r="V207" s="280"/>
      <c r="W207" s="280"/>
      <c r="X207" s="280"/>
    </row>
    <row r="208" spans="2:24" x14ac:dyDescent="0.2">
      <c r="B208" s="178"/>
      <c r="C208" s="178"/>
      <c r="D208" s="178"/>
      <c r="E208" s="178"/>
      <c r="F208" s="178"/>
      <c r="G208" s="178"/>
      <c r="H208" s="178"/>
      <c r="I208" s="178"/>
      <c r="J208" s="178"/>
      <c r="K208" s="178"/>
      <c r="L208" s="178"/>
      <c r="M208" s="178"/>
      <c r="N208" s="178"/>
      <c r="O208" s="178"/>
      <c r="P208" s="178"/>
      <c r="Q208" s="178"/>
      <c r="R208" s="178"/>
      <c r="S208" s="178"/>
      <c r="T208" s="178"/>
      <c r="U208" s="178"/>
      <c r="V208" s="280"/>
      <c r="W208" s="280"/>
      <c r="X208" s="280"/>
    </row>
    <row r="209" spans="2:24" x14ac:dyDescent="0.2">
      <c r="B209" s="178"/>
      <c r="C209" s="178"/>
      <c r="D209" s="178"/>
      <c r="E209" s="178"/>
      <c r="F209" s="178"/>
      <c r="G209" s="178"/>
      <c r="H209" s="178"/>
      <c r="I209" s="178"/>
      <c r="J209" s="178"/>
      <c r="K209" s="178"/>
      <c r="L209" s="178"/>
      <c r="M209" s="178"/>
      <c r="N209" s="178"/>
      <c r="O209" s="178"/>
      <c r="P209" s="178"/>
      <c r="Q209" s="178"/>
      <c r="R209" s="178"/>
      <c r="S209" s="178"/>
      <c r="T209" s="178"/>
      <c r="U209" s="178"/>
      <c r="V209" s="280"/>
      <c r="W209" s="280"/>
      <c r="X209" s="280"/>
    </row>
    <row r="210" spans="2:24" x14ac:dyDescent="0.2">
      <c r="B210" s="178"/>
      <c r="C210" s="178"/>
      <c r="D210" s="178"/>
      <c r="E210" s="178"/>
      <c r="F210" s="178"/>
      <c r="G210" s="178"/>
      <c r="H210" s="178"/>
      <c r="I210" s="178"/>
      <c r="J210" s="178"/>
      <c r="K210" s="178"/>
      <c r="L210" s="178"/>
      <c r="M210" s="178"/>
      <c r="N210" s="178"/>
      <c r="O210" s="178"/>
      <c r="P210" s="178"/>
      <c r="Q210" s="178"/>
      <c r="R210" s="178"/>
      <c r="S210" s="178"/>
      <c r="T210" s="178"/>
      <c r="U210" s="178"/>
      <c r="V210" s="280"/>
      <c r="W210" s="280"/>
      <c r="X210" s="280"/>
    </row>
    <row r="211" spans="2:24" x14ac:dyDescent="0.2">
      <c r="B211" s="178"/>
      <c r="C211" s="178"/>
      <c r="D211" s="178"/>
      <c r="E211" s="178"/>
      <c r="F211" s="178"/>
      <c r="G211" s="178"/>
      <c r="H211" s="178"/>
      <c r="I211" s="178"/>
      <c r="J211" s="178"/>
      <c r="K211" s="178"/>
      <c r="L211" s="178"/>
      <c r="M211" s="178"/>
      <c r="N211" s="178"/>
      <c r="O211" s="178"/>
      <c r="P211" s="178"/>
      <c r="Q211" s="178"/>
      <c r="R211" s="178"/>
      <c r="S211" s="178"/>
      <c r="T211" s="178"/>
      <c r="U211" s="178"/>
      <c r="V211" s="280"/>
      <c r="W211" s="280"/>
      <c r="X211" s="280"/>
    </row>
    <row r="212" spans="2:24" x14ac:dyDescent="0.2">
      <c r="B212" s="178"/>
      <c r="C212" s="178"/>
      <c r="D212" s="178"/>
      <c r="E212" s="178"/>
      <c r="F212" s="178"/>
      <c r="G212" s="178"/>
      <c r="H212" s="178"/>
      <c r="I212" s="178"/>
      <c r="J212" s="178"/>
      <c r="K212" s="178"/>
      <c r="L212" s="178"/>
      <c r="M212" s="178"/>
      <c r="N212" s="178"/>
      <c r="O212" s="178"/>
      <c r="P212" s="178"/>
      <c r="Q212" s="178"/>
      <c r="R212" s="178"/>
      <c r="S212" s="178"/>
      <c r="T212" s="178"/>
      <c r="U212" s="178"/>
      <c r="V212" s="280"/>
      <c r="W212" s="280"/>
      <c r="X212" s="280"/>
    </row>
    <row r="213" spans="2:24" x14ac:dyDescent="0.2">
      <c r="B213" s="178"/>
      <c r="C213" s="178"/>
      <c r="D213" s="178"/>
      <c r="E213" s="178"/>
      <c r="F213" s="178"/>
      <c r="G213" s="178"/>
      <c r="H213" s="178"/>
      <c r="I213" s="178"/>
      <c r="J213" s="178"/>
      <c r="K213" s="178"/>
      <c r="L213" s="178"/>
      <c r="M213" s="178"/>
      <c r="N213" s="178"/>
      <c r="O213" s="178"/>
      <c r="P213" s="178"/>
      <c r="Q213" s="178"/>
      <c r="R213" s="178"/>
      <c r="S213" s="178"/>
      <c r="T213" s="178"/>
      <c r="U213" s="178"/>
      <c r="V213" s="280"/>
      <c r="W213" s="280"/>
      <c r="X213" s="280"/>
    </row>
    <row r="214" spans="2:24" x14ac:dyDescent="0.2">
      <c r="B214" s="178"/>
      <c r="C214" s="178"/>
      <c r="D214" s="178"/>
      <c r="E214" s="178"/>
      <c r="F214" s="178"/>
      <c r="G214" s="178"/>
      <c r="H214" s="178"/>
      <c r="I214" s="178"/>
      <c r="J214" s="178"/>
      <c r="K214" s="178"/>
      <c r="L214" s="178"/>
      <c r="M214" s="178"/>
      <c r="N214" s="178"/>
      <c r="O214" s="178"/>
      <c r="P214" s="178"/>
      <c r="Q214" s="178"/>
      <c r="R214" s="178"/>
      <c r="S214" s="178"/>
      <c r="T214" s="178"/>
      <c r="U214" s="178"/>
      <c r="V214" s="280"/>
      <c r="W214" s="280"/>
      <c r="X214" s="280"/>
    </row>
    <row r="215" spans="2:24" x14ac:dyDescent="0.2">
      <c r="B215" s="178"/>
      <c r="C215" s="178"/>
      <c r="D215" s="178"/>
      <c r="E215" s="178"/>
      <c r="F215" s="178"/>
      <c r="G215" s="178"/>
      <c r="H215" s="178"/>
      <c r="I215" s="178"/>
      <c r="J215" s="178"/>
      <c r="K215" s="178"/>
      <c r="L215" s="178"/>
      <c r="M215" s="178"/>
      <c r="N215" s="178"/>
      <c r="O215" s="178"/>
      <c r="P215" s="178"/>
      <c r="Q215" s="178"/>
      <c r="R215" s="178"/>
      <c r="S215" s="178"/>
      <c r="T215" s="178"/>
      <c r="U215" s="178"/>
      <c r="V215" s="280"/>
      <c r="W215" s="280"/>
      <c r="X215" s="280"/>
    </row>
    <row r="216" spans="2:24" x14ac:dyDescent="0.2">
      <c r="B216" s="178"/>
      <c r="C216" s="178"/>
      <c r="D216" s="178"/>
      <c r="E216" s="178"/>
      <c r="F216" s="178"/>
      <c r="G216" s="178"/>
      <c r="H216" s="178"/>
      <c r="I216" s="178"/>
      <c r="J216" s="178"/>
      <c r="K216" s="178"/>
      <c r="L216" s="178"/>
      <c r="M216" s="178"/>
      <c r="N216" s="178"/>
      <c r="O216" s="178"/>
      <c r="P216" s="178"/>
      <c r="Q216" s="178"/>
      <c r="R216" s="178"/>
      <c r="S216" s="178"/>
      <c r="T216" s="178"/>
      <c r="U216" s="178"/>
      <c r="V216" s="280"/>
      <c r="W216" s="280"/>
      <c r="X216" s="280"/>
    </row>
    <row r="217" spans="2:24" x14ac:dyDescent="0.2">
      <c r="B217" s="178"/>
      <c r="C217" s="178"/>
      <c r="D217" s="178"/>
      <c r="E217" s="178"/>
      <c r="F217" s="178"/>
      <c r="G217" s="178"/>
      <c r="H217" s="178"/>
      <c r="I217" s="178"/>
      <c r="J217" s="178"/>
      <c r="K217" s="178"/>
      <c r="L217" s="178"/>
      <c r="M217" s="178"/>
      <c r="N217" s="178"/>
      <c r="O217" s="178"/>
      <c r="P217" s="178"/>
      <c r="Q217" s="178"/>
      <c r="R217" s="178"/>
      <c r="S217" s="178"/>
      <c r="T217" s="178"/>
      <c r="U217" s="178"/>
      <c r="V217" s="280"/>
      <c r="W217" s="280"/>
      <c r="X217" s="280"/>
    </row>
    <row r="218" spans="2:24" x14ac:dyDescent="0.2">
      <c r="B218" s="178"/>
      <c r="C218" s="178"/>
      <c r="D218" s="178"/>
      <c r="E218" s="178"/>
      <c r="F218" s="178"/>
      <c r="G218" s="178"/>
      <c r="H218" s="178"/>
      <c r="I218" s="178"/>
      <c r="J218" s="178"/>
      <c r="K218" s="178"/>
      <c r="L218" s="178"/>
      <c r="M218" s="178"/>
      <c r="N218" s="178"/>
      <c r="O218" s="178"/>
      <c r="P218" s="178"/>
      <c r="Q218" s="178"/>
      <c r="R218" s="178"/>
      <c r="S218" s="178"/>
      <c r="T218" s="178"/>
      <c r="U218" s="178"/>
      <c r="V218" s="280"/>
      <c r="W218" s="280"/>
      <c r="X218" s="280"/>
    </row>
    <row r="219" spans="2:24" x14ac:dyDescent="0.2">
      <c r="B219" s="178"/>
      <c r="C219" s="178"/>
      <c r="D219" s="178"/>
      <c r="E219" s="178"/>
      <c r="F219" s="178"/>
      <c r="G219" s="178"/>
      <c r="H219" s="178"/>
      <c r="I219" s="178"/>
      <c r="J219" s="178"/>
      <c r="K219" s="178"/>
      <c r="L219" s="178"/>
      <c r="M219" s="178"/>
      <c r="N219" s="178"/>
      <c r="O219" s="178"/>
      <c r="P219" s="178"/>
      <c r="Q219" s="178"/>
      <c r="R219" s="178"/>
      <c r="S219" s="178"/>
      <c r="T219" s="178"/>
      <c r="U219" s="178"/>
      <c r="V219" s="280"/>
      <c r="W219" s="280"/>
      <c r="X219" s="280"/>
    </row>
    <row r="220" spans="2:24" x14ac:dyDescent="0.2">
      <c r="B220" s="178"/>
      <c r="C220" s="178"/>
      <c r="D220" s="178"/>
      <c r="E220" s="178"/>
      <c r="F220" s="178"/>
      <c r="G220" s="178"/>
      <c r="H220" s="178"/>
      <c r="I220" s="178"/>
      <c r="J220" s="178"/>
      <c r="K220" s="178"/>
      <c r="L220" s="178"/>
      <c r="M220" s="178"/>
      <c r="N220" s="178"/>
      <c r="O220" s="178"/>
      <c r="P220" s="178"/>
      <c r="Q220" s="178"/>
      <c r="R220" s="178"/>
      <c r="S220" s="178"/>
      <c r="T220" s="178"/>
      <c r="U220" s="178"/>
      <c r="V220" s="280"/>
      <c r="W220" s="280"/>
      <c r="X220" s="280"/>
    </row>
    <row r="221" spans="2:24" x14ac:dyDescent="0.2">
      <c r="B221" s="178"/>
      <c r="C221" s="178"/>
      <c r="D221" s="178"/>
      <c r="E221" s="178"/>
      <c r="F221" s="178"/>
      <c r="G221" s="178"/>
      <c r="H221" s="178"/>
      <c r="I221" s="178"/>
      <c r="J221" s="178"/>
      <c r="K221" s="178"/>
      <c r="L221" s="178"/>
      <c r="M221" s="178"/>
      <c r="N221" s="178"/>
      <c r="O221" s="178"/>
      <c r="P221" s="178"/>
      <c r="Q221" s="178"/>
      <c r="R221" s="178"/>
      <c r="S221" s="178"/>
      <c r="T221" s="178"/>
      <c r="U221" s="178"/>
      <c r="V221" s="280"/>
      <c r="W221" s="280"/>
      <c r="X221" s="280"/>
    </row>
    <row r="222" spans="2:24" x14ac:dyDescent="0.2">
      <c r="B222" s="178"/>
      <c r="C222" s="178"/>
      <c r="D222" s="178"/>
      <c r="E222" s="178"/>
      <c r="F222" s="178"/>
      <c r="G222" s="178"/>
      <c r="H222" s="178"/>
      <c r="I222" s="178"/>
      <c r="J222" s="178"/>
      <c r="K222" s="178"/>
      <c r="L222" s="178"/>
      <c r="M222" s="178"/>
      <c r="N222" s="178"/>
      <c r="O222" s="178"/>
      <c r="P222" s="178"/>
      <c r="Q222" s="178"/>
      <c r="R222" s="178"/>
      <c r="S222" s="178"/>
      <c r="T222" s="178"/>
      <c r="U222" s="178"/>
      <c r="V222" s="280"/>
      <c r="W222" s="280"/>
      <c r="X222" s="280"/>
    </row>
    <row r="223" spans="2:24" x14ac:dyDescent="0.2">
      <c r="B223" s="178"/>
      <c r="C223" s="178"/>
      <c r="D223" s="178"/>
      <c r="E223" s="178"/>
      <c r="F223" s="178"/>
      <c r="G223" s="178"/>
      <c r="H223" s="178"/>
      <c r="I223" s="178"/>
      <c r="J223" s="178"/>
      <c r="K223" s="178"/>
      <c r="L223" s="178"/>
      <c r="M223" s="178"/>
      <c r="N223" s="178"/>
      <c r="O223" s="178"/>
      <c r="P223" s="178"/>
      <c r="Q223" s="178"/>
      <c r="R223" s="178"/>
      <c r="S223" s="178"/>
      <c r="T223" s="178"/>
      <c r="U223" s="178"/>
      <c r="V223" s="280"/>
      <c r="W223" s="280"/>
      <c r="X223" s="280"/>
    </row>
    <row r="224" spans="2:24" x14ac:dyDescent="0.2">
      <c r="B224" s="178"/>
      <c r="C224" s="178"/>
      <c r="D224" s="178"/>
      <c r="E224" s="178"/>
      <c r="F224" s="178"/>
      <c r="G224" s="178"/>
      <c r="H224" s="178"/>
      <c r="I224" s="178"/>
      <c r="J224" s="178"/>
      <c r="K224" s="178"/>
      <c r="L224" s="178"/>
      <c r="M224" s="178"/>
      <c r="N224" s="178"/>
      <c r="O224" s="178"/>
      <c r="P224" s="178"/>
      <c r="Q224" s="178"/>
      <c r="R224" s="178"/>
      <c r="S224" s="178"/>
      <c r="T224" s="178"/>
      <c r="U224" s="178"/>
      <c r="V224" s="280"/>
      <c r="W224" s="280"/>
      <c r="X224" s="280"/>
    </row>
    <row r="225" spans="2:24" x14ac:dyDescent="0.2">
      <c r="B225" s="178"/>
      <c r="C225" s="178"/>
      <c r="D225" s="178"/>
      <c r="E225" s="178"/>
      <c r="F225" s="178"/>
      <c r="G225" s="178"/>
      <c r="H225" s="178"/>
      <c r="I225" s="178"/>
      <c r="J225" s="178"/>
      <c r="K225" s="178"/>
      <c r="L225" s="178"/>
      <c r="M225" s="178"/>
      <c r="N225" s="178"/>
      <c r="O225" s="178"/>
      <c r="P225" s="178"/>
      <c r="Q225" s="178"/>
      <c r="R225" s="178"/>
      <c r="S225" s="178"/>
      <c r="T225" s="178"/>
      <c r="U225" s="178"/>
      <c r="V225" s="280"/>
      <c r="W225" s="280"/>
      <c r="X225" s="280"/>
    </row>
    <row r="226" spans="2:24" x14ac:dyDescent="0.2">
      <c r="B226" s="178"/>
      <c r="C226" s="178"/>
      <c r="D226" s="178"/>
      <c r="E226" s="178"/>
      <c r="F226" s="178"/>
      <c r="G226" s="178"/>
      <c r="H226" s="178"/>
      <c r="I226" s="178"/>
      <c r="J226" s="178"/>
      <c r="K226" s="178"/>
      <c r="L226" s="178"/>
      <c r="M226" s="178"/>
      <c r="N226" s="178"/>
      <c r="O226" s="178"/>
      <c r="P226" s="178"/>
      <c r="Q226" s="178"/>
      <c r="R226" s="178"/>
      <c r="S226" s="178"/>
      <c r="T226" s="178"/>
      <c r="U226" s="178"/>
      <c r="V226" s="280"/>
      <c r="W226" s="280"/>
      <c r="X226" s="280"/>
    </row>
    <row r="227" spans="2:24" x14ac:dyDescent="0.2">
      <c r="B227" s="178"/>
      <c r="C227" s="178"/>
      <c r="D227" s="178"/>
      <c r="E227" s="178"/>
      <c r="F227" s="178"/>
      <c r="G227" s="178"/>
      <c r="H227" s="178"/>
      <c r="I227" s="178"/>
      <c r="J227" s="178"/>
      <c r="K227" s="178"/>
      <c r="L227" s="178"/>
      <c r="M227" s="178"/>
      <c r="N227" s="178"/>
      <c r="O227" s="178"/>
      <c r="P227" s="178"/>
      <c r="Q227" s="178"/>
      <c r="R227" s="178"/>
      <c r="S227" s="178"/>
      <c r="T227" s="178"/>
      <c r="U227" s="178"/>
      <c r="V227" s="280"/>
      <c r="W227" s="280"/>
      <c r="X227" s="280"/>
    </row>
    <row r="228" spans="2:24" x14ac:dyDescent="0.2">
      <c r="B228" s="178"/>
      <c r="C228" s="178"/>
      <c r="D228" s="178"/>
      <c r="E228" s="178"/>
      <c r="F228" s="178"/>
      <c r="G228" s="178"/>
      <c r="H228" s="178"/>
      <c r="I228" s="178"/>
      <c r="J228" s="178"/>
      <c r="K228" s="178"/>
      <c r="L228" s="178"/>
      <c r="M228" s="178"/>
      <c r="N228" s="178"/>
      <c r="O228" s="178"/>
      <c r="P228" s="178"/>
      <c r="Q228" s="178"/>
      <c r="R228" s="178"/>
      <c r="S228" s="178"/>
      <c r="T228" s="178"/>
      <c r="U228" s="178"/>
      <c r="V228" s="280"/>
      <c r="W228" s="280"/>
      <c r="X228" s="280"/>
    </row>
    <row r="229" spans="2:24" x14ac:dyDescent="0.2">
      <c r="B229" s="178"/>
      <c r="C229" s="178"/>
      <c r="D229" s="178"/>
      <c r="E229" s="178"/>
      <c r="F229" s="178"/>
      <c r="G229" s="178"/>
      <c r="H229" s="178"/>
      <c r="I229" s="178"/>
      <c r="J229" s="178"/>
      <c r="K229" s="178"/>
      <c r="L229" s="178"/>
      <c r="M229" s="178"/>
      <c r="N229" s="178"/>
      <c r="O229" s="178"/>
      <c r="P229" s="178"/>
      <c r="Q229" s="178"/>
      <c r="R229" s="178"/>
      <c r="S229" s="178"/>
      <c r="T229" s="178"/>
      <c r="U229" s="178"/>
      <c r="V229" s="280"/>
      <c r="W229" s="280"/>
      <c r="X229" s="280"/>
    </row>
    <row r="230" spans="2:24" x14ac:dyDescent="0.2">
      <c r="B230" s="178"/>
      <c r="C230" s="178"/>
      <c r="D230" s="178"/>
      <c r="E230" s="178"/>
      <c r="F230" s="178"/>
      <c r="G230" s="178"/>
      <c r="H230" s="178"/>
      <c r="I230" s="178"/>
      <c r="J230" s="178"/>
      <c r="K230" s="178"/>
      <c r="L230" s="178"/>
      <c r="M230" s="178"/>
      <c r="N230" s="178"/>
      <c r="O230" s="178"/>
      <c r="P230" s="178"/>
      <c r="Q230" s="178"/>
      <c r="R230" s="178"/>
      <c r="S230" s="178"/>
      <c r="T230" s="178"/>
      <c r="U230" s="178"/>
      <c r="V230" s="280"/>
      <c r="W230" s="280"/>
      <c r="X230" s="280"/>
    </row>
    <row r="231" spans="2:24" x14ac:dyDescent="0.2">
      <c r="B231" s="178"/>
      <c r="C231" s="178"/>
      <c r="D231" s="178"/>
      <c r="E231" s="178"/>
      <c r="F231" s="178"/>
      <c r="G231" s="178"/>
      <c r="H231" s="178"/>
      <c r="I231" s="178"/>
      <c r="J231" s="178"/>
      <c r="K231" s="178"/>
      <c r="L231" s="178"/>
      <c r="M231" s="178"/>
      <c r="N231" s="178"/>
      <c r="O231" s="178"/>
      <c r="P231" s="178"/>
      <c r="Q231" s="178"/>
      <c r="R231" s="178"/>
      <c r="S231" s="178"/>
      <c r="T231" s="178"/>
      <c r="U231" s="178"/>
      <c r="V231" s="280"/>
      <c r="W231" s="280"/>
      <c r="X231" s="280"/>
    </row>
    <row r="232" spans="2:24" x14ac:dyDescent="0.2">
      <c r="B232" s="178"/>
      <c r="C232" s="178"/>
      <c r="D232" s="178"/>
      <c r="E232" s="178"/>
      <c r="F232" s="178"/>
      <c r="G232" s="178"/>
      <c r="H232" s="178"/>
      <c r="I232" s="178"/>
      <c r="J232" s="178"/>
      <c r="K232" s="178"/>
      <c r="L232" s="178"/>
      <c r="M232" s="178"/>
      <c r="N232" s="178"/>
      <c r="O232" s="178"/>
      <c r="P232" s="178"/>
      <c r="Q232" s="178"/>
      <c r="R232" s="178"/>
      <c r="S232" s="178"/>
      <c r="T232" s="178"/>
      <c r="U232" s="178"/>
      <c r="V232" s="280"/>
      <c r="W232" s="280"/>
      <c r="X232" s="280"/>
    </row>
    <row r="233" spans="2:24" x14ac:dyDescent="0.2">
      <c r="B233" s="178"/>
      <c r="C233" s="178"/>
      <c r="D233" s="178"/>
      <c r="E233" s="178"/>
      <c r="F233" s="178"/>
      <c r="G233" s="178"/>
      <c r="H233" s="178"/>
      <c r="I233" s="178"/>
      <c r="J233" s="178"/>
      <c r="K233" s="178"/>
      <c r="L233" s="178"/>
      <c r="M233" s="178"/>
      <c r="N233" s="178"/>
      <c r="O233" s="178"/>
      <c r="P233" s="178"/>
      <c r="Q233" s="178"/>
      <c r="R233" s="178"/>
      <c r="S233" s="178"/>
      <c r="T233" s="178"/>
      <c r="U233" s="178"/>
      <c r="V233" s="280"/>
      <c r="W233" s="280"/>
      <c r="X233" s="280"/>
    </row>
    <row r="234" spans="2:24" x14ac:dyDescent="0.2">
      <c r="B234" s="178"/>
      <c r="C234" s="178"/>
      <c r="D234" s="178"/>
      <c r="E234" s="178"/>
      <c r="F234" s="178"/>
      <c r="G234" s="178"/>
      <c r="H234" s="178"/>
      <c r="I234" s="178"/>
      <c r="J234" s="178"/>
      <c r="K234" s="178"/>
      <c r="L234" s="178"/>
      <c r="M234" s="178"/>
      <c r="N234" s="178"/>
      <c r="O234" s="178"/>
      <c r="P234" s="178"/>
      <c r="Q234" s="178"/>
      <c r="R234" s="178"/>
      <c r="S234" s="178"/>
      <c r="T234" s="178"/>
      <c r="U234" s="178"/>
      <c r="V234" s="280"/>
      <c r="W234" s="280"/>
      <c r="X234" s="280"/>
    </row>
    <row r="235" spans="2:24" x14ac:dyDescent="0.2">
      <c r="B235" s="178"/>
      <c r="C235" s="178"/>
      <c r="D235" s="178"/>
      <c r="E235" s="178"/>
      <c r="F235" s="178"/>
      <c r="G235" s="178"/>
      <c r="H235" s="178"/>
      <c r="I235" s="178"/>
      <c r="J235" s="178"/>
      <c r="K235" s="178"/>
      <c r="L235" s="178"/>
      <c r="M235" s="178"/>
      <c r="N235" s="178"/>
      <c r="O235" s="178"/>
      <c r="P235" s="178"/>
      <c r="Q235" s="178"/>
      <c r="R235" s="178"/>
      <c r="S235" s="178"/>
      <c r="T235" s="178"/>
      <c r="U235" s="178"/>
      <c r="V235" s="280"/>
      <c r="W235" s="280"/>
      <c r="X235" s="280"/>
    </row>
    <row r="236" spans="2:24" x14ac:dyDescent="0.2">
      <c r="B236" s="178"/>
      <c r="C236" s="178"/>
      <c r="D236" s="178"/>
      <c r="E236" s="178"/>
      <c r="F236" s="178"/>
      <c r="G236" s="178"/>
      <c r="H236" s="178"/>
      <c r="I236" s="178"/>
      <c r="J236" s="178"/>
      <c r="K236" s="178"/>
      <c r="L236" s="178"/>
      <c r="M236" s="178"/>
      <c r="N236" s="178"/>
      <c r="O236" s="178"/>
      <c r="P236" s="178"/>
      <c r="Q236" s="178"/>
      <c r="R236" s="178"/>
      <c r="S236" s="178"/>
      <c r="T236" s="178"/>
      <c r="U236" s="178"/>
      <c r="V236" s="280"/>
      <c r="W236" s="280"/>
      <c r="X236" s="280"/>
    </row>
    <row r="237" spans="2:24" x14ac:dyDescent="0.2">
      <c r="B237" s="178"/>
      <c r="C237" s="178"/>
      <c r="D237" s="178"/>
      <c r="E237" s="178"/>
      <c r="F237" s="178"/>
      <c r="G237" s="178"/>
      <c r="H237" s="178"/>
      <c r="I237" s="178"/>
      <c r="J237" s="178"/>
      <c r="K237" s="178"/>
      <c r="L237" s="178"/>
      <c r="M237" s="178"/>
      <c r="N237" s="178"/>
      <c r="O237" s="178"/>
      <c r="P237" s="178"/>
      <c r="Q237" s="178"/>
      <c r="R237" s="178"/>
      <c r="S237" s="178"/>
      <c r="T237" s="178"/>
      <c r="U237" s="178"/>
      <c r="V237" s="280"/>
      <c r="W237" s="280"/>
      <c r="X237" s="280"/>
    </row>
    <row r="238" spans="2:24" x14ac:dyDescent="0.2">
      <c r="B238" s="178"/>
      <c r="C238" s="178"/>
      <c r="D238" s="178"/>
      <c r="E238" s="178"/>
      <c r="F238" s="178"/>
      <c r="G238" s="178"/>
      <c r="H238" s="178"/>
      <c r="I238" s="178"/>
      <c r="J238" s="178"/>
      <c r="K238" s="178"/>
      <c r="L238" s="178"/>
      <c r="M238" s="178"/>
      <c r="N238" s="178"/>
      <c r="O238" s="178"/>
      <c r="P238" s="178"/>
      <c r="Q238" s="178"/>
      <c r="R238" s="178"/>
      <c r="S238" s="178"/>
      <c r="T238" s="178"/>
      <c r="U238" s="178"/>
      <c r="V238" s="280"/>
      <c r="W238" s="280"/>
      <c r="X238" s="280"/>
    </row>
    <row r="239" spans="2:24" x14ac:dyDescent="0.2">
      <c r="B239" s="178"/>
      <c r="C239" s="178"/>
      <c r="D239" s="178"/>
      <c r="E239" s="178"/>
      <c r="F239" s="178"/>
      <c r="G239" s="178"/>
      <c r="H239" s="178"/>
      <c r="I239" s="178"/>
      <c r="J239" s="178"/>
      <c r="K239" s="178"/>
      <c r="L239" s="178"/>
      <c r="M239" s="178"/>
      <c r="N239" s="178"/>
      <c r="O239" s="178"/>
      <c r="P239" s="178"/>
      <c r="Q239" s="178"/>
      <c r="R239" s="178"/>
      <c r="S239" s="178"/>
      <c r="T239" s="178"/>
      <c r="U239" s="178"/>
      <c r="V239" s="280"/>
      <c r="W239" s="280"/>
      <c r="X239" s="280"/>
    </row>
    <row r="240" spans="2:24" x14ac:dyDescent="0.2">
      <c r="B240" s="178"/>
      <c r="C240" s="178"/>
      <c r="D240" s="178"/>
      <c r="E240" s="178"/>
      <c r="F240" s="178"/>
      <c r="G240" s="178"/>
      <c r="H240" s="178"/>
      <c r="I240" s="178"/>
      <c r="J240" s="178"/>
      <c r="K240" s="178"/>
      <c r="L240" s="178"/>
      <c r="M240" s="178"/>
      <c r="N240" s="178"/>
      <c r="O240" s="178"/>
      <c r="P240" s="178"/>
      <c r="Q240" s="178"/>
      <c r="R240" s="178"/>
      <c r="S240" s="178"/>
      <c r="T240" s="178"/>
      <c r="U240" s="178"/>
      <c r="V240" s="280"/>
      <c r="W240" s="280"/>
      <c r="X240" s="280"/>
    </row>
    <row r="241" spans="2:24" x14ac:dyDescent="0.2">
      <c r="B241" s="178"/>
      <c r="C241" s="178"/>
      <c r="D241" s="178"/>
      <c r="E241" s="178"/>
      <c r="F241" s="178"/>
      <c r="G241" s="178"/>
      <c r="H241" s="178"/>
      <c r="I241" s="178"/>
      <c r="J241" s="178"/>
      <c r="K241" s="178"/>
      <c r="L241" s="178"/>
      <c r="M241" s="178"/>
      <c r="N241" s="178"/>
      <c r="O241" s="178"/>
      <c r="P241" s="178"/>
      <c r="Q241" s="178"/>
      <c r="R241" s="178"/>
      <c r="S241" s="178"/>
      <c r="T241" s="178"/>
      <c r="U241" s="178"/>
      <c r="V241" s="280"/>
      <c r="W241" s="280"/>
      <c r="X241" s="280"/>
    </row>
    <row r="242" spans="2:24" x14ac:dyDescent="0.2">
      <c r="B242" s="178"/>
      <c r="C242" s="178"/>
      <c r="D242" s="178"/>
      <c r="E242" s="178"/>
      <c r="F242" s="178"/>
      <c r="G242" s="178"/>
      <c r="H242" s="178"/>
      <c r="I242" s="178"/>
      <c r="J242" s="178"/>
      <c r="K242" s="178"/>
      <c r="L242" s="178"/>
      <c r="M242" s="178"/>
      <c r="N242" s="178"/>
      <c r="O242" s="178"/>
      <c r="P242" s="178"/>
      <c r="Q242" s="178"/>
      <c r="R242" s="178"/>
      <c r="S242" s="178"/>
      <c r="T242" s="178"/>
      <c r="U242" s="178"/>
      <c r="V242" s="280"/>
      <c r="W242" s="280"/>
      <c r="X242" s="280"/>
    </row>
    <row r="243" spans="2:24" x14ac:dyDescent="0.2">
      <c r="B243" s="178"/>
      <c r="C243" s="178"/>
      <c r="D243" s="178"/>
      <c r="E243" s="178"/>
      <c r="F243" s="178"/>
      <c r="G243" s="178"/>
      <c r="H243" s="178"/>
      <c r="I243" s="178"/>
      <c r="J243" s="178"/>
      <c r="K243" s="178"/>
      <c r="L243" s="178"/>
      <c r="M243" s="178"/>
      <c r="N243" s="178"/>
      <c r="O243" s="178"/>
      <c r="P243" s="178"/>
      <c r="Q243" s="178"/>
      <c r="R243" s="178"/>
      <c r="S243" s="178"/>
      <c r="T243" s="178"/>
      <c r="U243" s="178"/>
      <c r="V243" s="280"/>
      <c r="W243" s="280"/>
      <c r="X243" s="280"/>
    </row>
    <row r="244" spans="2:24" x14ac:dyDescent="0.2">
      <c r="B244" s="178"/>
      <c r="C244" s="178"/>
      <c r="D244" s="178"/>
      <c r="E244" s="178"/>
      <c r="F244" s="178"/>
      <c r="G244" s="178"/>
      <c r="H244" s="178"/>
      <c r="I244" s="178"/>
      <c r="J244" s="178"/>
      <c r="K244" s="178"/>
      <c r="L244" s="178"/>
      <c r="M244" s="178"/>
      <c r="N244" s="178"/>
      <c r="O244" s="178"/>
      <c r="P244" s="178"/>
      <c r="Q244" s="178"/>
      <c r="R244" s="178"/>
      <c r="S244" s="178"/>
      <c r="T244" s="178"/>
      <c r="U244" s="178"/>
      <c r="V244" s="280"/>
      <c r="W244" s="280"/>
      <c r="X244" s="280"/>
    </row>
    <row r="245" spans="2:24" x14ac:dyDescent="0.2">
      <c r="B245" s="178"/>
      <c r="C245" s="178"/>
      <c r="D245" s="178"/>
      <c r="E245" s="178"/>
      <c r="F245" s="178"/>
      <c r="G245" s="178"/>
      <c r="H245" s="178"/>
      <c r="I245" s="178"/>
      <c r="J245" s="178"/>
      <c r="K245" s="178"/>
      <c r="L245" s="178"/>
      <c r="M245" s="178"/>
      <c r="N245" s="178"/>
      <c r="O245" s="178"/>
      <c r="P245" s="178"/>
      <c r="Q245" s="178"/>
      <c r="R245" s="178"/>
      <c r="S245" s="178"/>
      <c r="T245" s="178"/>
      <c r="U245" s="178"/>
      <c r="V245" s="280"/>
      <c r="W245" s="280"/>
      <c r="X245" s="280"/>
    </row>
    <row r="246" spans="2:24" x14ac:dyDescent="0.2">
      <c r="B246" s="178"/>
      <c r="C246" s="178"/>
      <c r="D246" s="178"/>
      <c r="E246" s="178"/>
      <c r="F246" s="178"/>
      <c r="G246" s="178"/>
      <c r="H246" s="178"/>
      <c r="I246" s="178"/>
      <c r="J246" s="178"/>
      <c r="K246" s="178"/>
      <c r="L246" s="178"/>
      <c r="M246" s="178"/>
      <c r="N246" s="178"/>
      <c r="O246" s="178"/>
      <c r="P246" s="178"/>
      <c r="Q246" s="178"/>
      <c r="R246" s="178"/>
      <c r="S246" s="178"/>
      <c r="T246" s="178"/>
      <c r="U246" s="178"/>
      <c r="V246" s="280"/>
      <c r="W246" s="280"/>
      <c r="X246" s="280"/>
    </row>
    <row r="247" spans="2:24" x14ac:dyDescent="0.2">
      <c r="B247" s="178"/>
      <c r="C247" s="178"/>
      <c r="D247" s="178"/>
      <c r="E247" s="178"/>
      <c r="F247" s="178"/>
      <c r="G247" s="178"/>
      <c r="H247" s="178"/>
      <c r="I247" s="178"/>
      <c r="J247" s="178"/>
      <c r="K247" s="178"/>
      <c r="L247" s="178"/>
      <c r="M247" s="178"/>
      <c r="N247" s="178"/>
      <c r="O247" s="178"/>
      <c r="P247" s="178"/>
      <c r="Q247" s="178"/>
      <c r="R247" s="178"/>
      <c r="S247" s="178"/>
      <c r="T247" s="178"/>
      <c r="U247" s="178"/>
      <c r="V247" s="280"/>
      <c r="W247" s="280"/>
      <c r="X247" s="280"/>
    </row>
    <row r="248" spans="2:24" x14ac:dyDescent="0.2">
      <c r="B248" s="178"/>
      <c r="C248" s="178"/>
      <c r="D248" s="178"/>
      <c r="E248" s="178"/>
      <c r="F248" s="178"/>
      <c r="G248" s="178"/>
      <c r="H248" s="178"/>
      <c r="I248" s="178"/>
      <c r="J248" s="178"/>
      <c r="K248" s="178"/>
      <c r="L248" s="178"/>
      <c r="M248" s="178"/>
      <c r="N248" s="178"/>
      <c r="O248" s="178"/>
      <c r="P248" s="178"/>
      <c r="Q248" s="178"/>
      <c r="R248" s="178"/>
      <c r="S248" s="178"/>
      <c r="T248" s="178"/>
      <c r="U248" s="178"/>
      <c r="V248" s="280"/>
      <c r="W248" s="280"/>
      <c r="X248" s="280"/>
    </row>
    <row r="249" spans="2:24" x14ac:dyDescent="0.2">
      <c r="B249" s="178"/>
      <c r="C249" s="178"/>
      <c r="D249" s="178"/>
      <c r="E249" s="178"/>
      <c r="F249" s="178"/>
      <c r="G249" s="178"/>
      <c r="H249" s="178"/>
      <c r="I249" s="178"/>
      <c r="J249" s="178"/>
      <c r="K249" s="178"/>
      <c r="L249" s="178"/>
      <c r="M249" s="178"/>
      <c r="N249" s="178"/>
      <c r="O249" s="178"/>
      <c r="P249" s="178"/>
      <c r="Q249" s="178"/>
      <c r="R249" s="178"/>
      <c r="S249" s="178"/>
      <c r="T249" s="178"/>
      <c r="U249" s="178"/>
      <c r="V249" s="280"/>
      <c r="W249" s="280"/>
      <c r="X249" s="280"/>
    </row>
    <row r="250" spans="2:24" x14ac:dyDescent="0.2">
      <c r="B250" s="178"/>
      <c r="C250" s="178"/>
      <c r="D250" s="178"/>
      <c r="E250" s="178"/>
      <c r="F250" s="178"/>
      <c r="G250" s="178"/>
      <c r="H250" s="178"/>
      <c r="I250" s="178"/>
      <c r="J250" s="178"/>
      <c r="K250" s="178"/>
      <c r="L250" s="178"/>
      <c r="M250" s="178"/>
      <c r="N250" s="178"/>
      <c r="O250" s="178"/>
      <c r="P250" s="178"/>
      <c r="Q250" s="178"/>
      <c r="R250" s="178"/>
      <c r="S250" s="178"/>
      <c r="T250" s="178"/>
      <c r="U250" s="178"/>
      <c r="V250" s="280"/>
      <c r="W250" s="280"/>
      <c r="X250" s="280"/>
    </row>
    <row r="251" spans="2:24" x14ac:dyDescent="0.2">
      <c r="B251" s="178"/>
      <c r="C251" s="178"/>
      <c r="D251" s="178"/>
      <c r="E251" s="178"/>
      <c r="F251" s="178"/>
      <c r="G251" s="178"/>
      <c r="H251" s="178"/>
      <c r="I251" s="178"/>
      <c r="J251" s="178"/>
      <c r="K251" s="178"/>
      <c r="L251" s="178"/>
      <c r="M251" s="178"/>
      <c r="N251" s="178"/>
      <c r="O251" s="178"/>
      <c r="P251" s="178"/>
      <c r="Q251" s="178"/>
      <c r="R251" s="178"/>
      <c r="S251" s="178"/>
      <c r="T251" s="178"/>
      <c r="U251" s="178"/>
      <c r="V251" s="280"/>
      <c r="W251" s="280"/>
      <c r="X251" s="280"/>
    </row>
    <row r="252" spans="2:24" x14ac:dyDescent="0.2">
      <c r="B252" s="178"/>
      <c r="C252" s="178"/>
      <c r="D252" s="178"/>
      <c r="E252" s="178"/>
      <c r="F252" s="178"/>
      <c r="G252" s="178"/>
      <c r="H252" s="178"/>
      <c r="I252" s="178"/>
      <c r="J252" s="178"/>
      <c r="K252" s="178"/>
      <c r="L252" s="178"/>
      <c r="M252" s="178"/>
      <c r="N252" s="178"/>
      <c r="O252" s="178"/>
      <c r="P252" s="178"/>
      <c r="Q252" s="178"/>
      <c r="R252" s="178"/>
      <c r="S252" s="178"/>
      <c r="T252" s="178"/>
      <c r="U252" s="178"/>
      <c r="V252" s="280"/>
      <c r="W252" s="280"/>
      <c r="X252" s="280"/>
    </row>
    <row r="253" spans="2:24" x14ac:dyDescent="0.2">
      <c r="B253" s="178"/>
      <c r="C253" s="178"/>
      <c r="D253" s="178"/>
      <c r="E253" s="178"/>
      <c r="F253" s="178"/>
      <c r="G253" s="178"/>
      <c r="H253" s="178"/>
      <c r="I253" s="178"/>
      <c r="J253" s="178"/>
      <c r="K253" s="178"/>
      <c r="L253" s="178"/>
      <c r="M253" s="178"/>
      <c r="N253" s="178"/>
      <c r="O253" s="178"/>
      <c r="P253" s="178"/>
      <c r="Q253" s="178"/>
      <c r="R253" s="178"/>
      <c r="S253" s="178"/>
      <c r="T253" s="178"/>
      <c r="U253" s="178"/>
      <c r="V253" s="280"/>
      <c r="W253" s="280"/>
      <c r="X253" s="280"/>
    </row>
    <row r="254" spans="2:24" x14ac:dyDescent="0.2">
      <c r="B254" s="178"/>
      <c r="C254" s="178"/>
      <c r="D254" s="178"/>
      <c r="E254" s="178"/>
      <c r="F254" s="178"/>
      <c r="G254" s="178"/>
      <c r="H254" s="178"/>
      <c r="I254" s="178"/>
      <c r="J254" s="178"/>
      <c r="K254" s="178"/>
      <c r="L254" s="178"/>
      <c r="M254" s="178"/>
      <c r="N254" s="178"/>
      <c r="O254" s="178"/>
      <c r="P254" s="178"/>
      <c r="Q254" s="178"/>
      <c r="R254" s="178"/>
      <c r="S254" s="178"/>
      <c r="T254" s="178"/>
      <c r="U254" s="178"/>
      <c r="V254" s="280"/>
      <c r="W254" s="280"/>
      <c r="X254" s="280"/>
    </row>
    <row r="255" spans="2:24" x14ac:dyDescent="0.2">
      <c r="B255" s="178"/>
      <c r="C255" s="178"/>
      <c r="D255" s="178"/>
      <c r="E255" s="178"/>
      <c r="F255" s="178"/>
      <c r="G255" s="178"/>
      <c r="H255" s="178"/>
      <c r="I255" s="178"/>
      <c r="J255" s="178"/>
      <c r="K255" s="178"/>
      <c r="L255" s="178"/>
      <c r="M255" s="178"/>
      <c r="N255" s="178"/>
      <c r="O255" s="178"/>
      <c r="P255" s="178"/>
      <c r="Q255" s="178"/>
      <c r="R255" s="178"/>
      <c r="S255" s="178"/>
      <c r="T255" s="178"/>
      <c r="U255" s="178"/>
      <c r="V255" s="280"/>
      <c r="W255" s="280"/>
      <c r="X255" s="280"/>
    </row>
    <row r="256" spans="2:24" x14ac:dyDescent="0.2">
      <c r="B256" s="178"/>
      <c r="C256" s="178"/>
      <c r="D256" s="178"/>
      <c r="E256" s="178"/>
      <c r="F256" s="178"/>
      <c r="G256" s="178"/>
      <c r="H256" s="178"/>
      <c r="I256" s="178"/>
      <c r="J256" s="178"/>
      <c r="K256" s="178"/>
      <c r="L256" s="178"/>
      <c r="M256" s="178"/>
      <c r="N256" s="178"/>
      <c r="O256" s="178"/>
      <c r="P256" s="178"/>
      <c r="Q256" s="178"/>
      <c r="R256" s="178"/>
      <c r="S256" s="178"/>
      <c r="T256" s="178"/>
      <c r="U256" s="178"/>
      <c r="V256" s="280"/>
      <c r="W256" s="280"/>
      <c r="X256" s="280"/>
    </row>
    <row r="257" spans="2:24" x14ac:dyDescent="0.2">
      <c r="B257" s="178"/>
      <c r="C257" s="178"/>
      <c r="D257" s="178"/>
      <c r="E257" s="178"/>
      <c r="F257" s="178"/>
      <c r="G257" s="178"/>
      <c r="H257" s="178"/>
      <c r="I257" s="178"/>
      <c r="J257" s="178"/>
      <c r="K257" s="178"/>
      <c r="L257" s="178"/>
      <c r="M257" s="178"/>
      <c r="N257" s="178"/>
      <c r="O257" s="178"/>
      <c r="P257" s="178"/>
      <c r="Q257" s="178"/>
      <c r="R257" s="178"/>
      <c r="S257" s="178"/>
      <c r="T257" s="178"/>
      <c r="U257" s="178"/>
      <c r="V257" s="280"/>
      <c r="W257" s="280"/>
      <c r="X257" s="280"/>
    </row>
    <row r="258" spans="2:24" ht="69.75" customHeight="1" x14ac:dyDescent="0.2">
      <c r="B258" s="178"/>
      <c r="C258" s="178"/>
      <c r="D258" s="178"/>
      <c r="E258" s="178"/>
      <c r="F258" s="178"/>
      <c r="G258" s="178"/>
      <c r="H258" s="178"/>
      <c r="I258" s="178"/>
      <c r="J258" s="178"/>
      <c r="K258" s="178"/>
      <c r="L258" s="178"/>
      <c r="M258" s="178"/>
      <c r="N258" s="178"/>
      <c r="O258" s="178"/>
      <c r="P258" s="178"/>
      <c r="Q258" s="178"/>
      <c r="R258" s="178"/>
      <c r="S258" s="178"/>
      <c r="T258" s="178"/>
      <c r="U258" s="178"/>
      <c r="V258" s="280"/>
      <c r="W258" s="280"/>
      <c r="X258" s="280"/>
    </row>
    <row r="259" spans="2:24" x14ac:dyDescent="0.2">
      <c r="U259" s="178"/>
      <c r="V259" s="280"/>
      <c r="W259" s="280"/>
      <c r="X259" s="280"/>
    </row>
    <row r="323" spans="2:24" x14ac:dyDescent="0.2">
      <c r="B323" s="178"/>
      <c r="C323" s="178"/>
      <c r="D323" s="178"/>
      <c r="E323" s="178"/>
      <c r="F323" s="178"/>
      <c r="G323" s="178"/>
      <c r="H323" s="178"/>
      <c r="I323" s="178"/>
      <c r="J323" s="178"/>
      <c r="K323" s="178"/>
      <c r="L323" s="178"/>
      <c r="M323" s="178"/>
      <c r="N323" s="178"/>
      <c r="O323" s="178"/>
      <c r="P323" s="178"/>
      <c r="Q323" s="178"/>
      <c r="R323" s="178"/>
      <c r="S323" s="178"/>
      <c r="T323" s="178"/>
    </row>
    <row r="324" spans="2:24" x14ac:dyDescent="0.2">
      <c r="B324" s="178"/>
      <c r="C324" s="178"/>
      <c r="D324" s="178"/>
      <c r="E324" s="178"/>
      <c r="F324" s="178"/>
      <c r="G324" s="178"/>
      <c r="H324" s="178"/>
      <c r="I324" s="178"/>
      <c r="J324" s="178"/>
      <c r="K324" s="178"/>
      <c r="L324" s="178"/>
      <c r="M324" s="178"/>
      <c r="N324" s="178"/>
      <c r="O324" s="178"/>
      <c r="P324" s="178"/>
      <c r="Q324" s="178"/>
      <c r="R324" s="178"/>
      <c r="S324" s="178"/>
      <c r="T324" s="178"/>
    </row>
    <row r="325" spans="2:24" x14ac:dyDescent="0.2">
      <c r="B325" s="178"/>
      <c r="C325" s="178"/>
      <c r="D325" s="178"/>
      <c r="E325" s="178"/>
      <c r="F325" s="178"/>
      <c r="G325" s="178"/>
      <c r="H325" s="178"/>
      <c r="I325" s="178"/>
      <c r="J325" s="178"/>
      <c r="K325" s="178"/>
      <c r="L325" s="178"/>
      <c r="M325" s="178"/>
      <c r="N325" s="178"/>
      <c r="O325" s="178"/>
      <c r="P325" s="178"/>
      <c r="Q325" s="178"/>
      <c r="R325" s="178"/>
      <c r="S325" s="178"/>
      <c r="T325" s="178"/>
    </row>
    <row r="326" spans="2:24" x14ac:dyDescent="0.2">
      <c r="B326" s="178"/>
      <c r="C326" s="178"/>
      <c r="D326" s="178"/>
      <c r="E326" s="178"/>
      <c r="F326" s="178"/>
      <c r="G326" s="178"/>
      <c r="H326" s="178"/>
      <c r="I326" s="178"/>
      <c r="J326" s="178"/>
      <c r="K326" s="178"/>
      <c r="L326" s="178"/>
      <c r="M326" s="178"/>
      <c r="N326" s="178"/>
      <c r="O326" s="178"/>
      <c r="P326" s="178"/>
      <c r="Q326" s="178"/>
      <c r="R326" s="178"/>
      <c r="S326" s="178"/>
      <c r="T326" s="178"/>
    </row>
    <row r="327" spans="2:24" x14ac:dyDescent="0.2">
      <c r="B327" s="178"/>
      <c r="C327" s="178"/>
      <c r="D327" s="178"/>
      <c r="E327" s="178"/>
      <c r="F327" s="178"/>
      <c r="G327" s="178"/>
      <c r="H327" s="178"/>
      <c r="I327" s="178"/>
      <c r="J327" s="178"/>
      <c r="K327" s="178"/>
      <c r="L327" s="178"/>
      <c r="M327" s="178"/>
      <c r="N327" s="178"/>
      <c r="O327" s="178"/>
      <c r="P327" s="178"/>
      <c r="Q327" s="178"/>
      <c r="R327" s="178"/>
      <c r="S327" s="178"/>
      <c r="T327" s="178"/>
    </row>
    <row r="328" spans="2:24" x14ac:dyDescent="0.2">
      <c r="B328" s="178"/>
      <c r="C328" s="178"/>
      <c r="D328" s="178"/>
      <c r="E328" s="178"/>
      <c r="F328" s="178"/>
      <c r="G328" s="178"/>
      <c r="H328" s="178"/>
      <c r="I328" s="178"/>
      <c r="J328" s="178"/>
      <c r="K328" s="178"/>
      <c r="L328" s="178"/>
      <c r="M328" s="178"/>
      <c r="N328" s="178"/>
      <c r="O328" s="178"/>
      <c r="P328" s="178"/>
      <c r="Q328" s="178"/>
      <c r="R328" s="178"/>
      <c r="S328" s="178"/>
      <c r="T328" s="178"/>
    </row>
    <row r="329" spans="2:24" x14ac:dyDescent="0.2">
      <c r="B329" s="178"/>
      <c r="C329" s="178"/>
      <c r="D329" s="178"/>
      <c r="E329" s="178"/>
      <c r="F329" s="178"/>
      <c r="G329" s="178"/>
      <c r="H329" s="178"/>
      <c r="I329" s="178"/>
      <c r="J329" s="178"/>
      <c r="K329" s="178"/>
      <c r="L329" s="178"/>
      <c r="M329" s="178"/>
      <c r="N329" s="178"/>
      <c r="O329" s="178"/>
      <c r="P329" s="178"/>
      <c r="Q329" s="178"/>
      <c r="R329" s="178"/>
      <c r="S329" s="178"/>
      <c r="T329" s="178"/>
    </row>
    <row r="330" spans="2:24" x14ac:dyDescent="0.2">
      <c r="B330" s="178"/>
      <c r="C330" s="178"/>
      <c r="D330" s="178"/>
      <c r="E330" s="178"/>
      <c r="F330" s="178"/>
      <c r="G330" s="178"/>
      <c r="H330" s="178"/>
      <c r="I330" s="178"/>
      <c r="J330" s="178"/>
      <c r="K330" s="178"/>
      <c r="L330" s="178"/>
      <c r="M330" s="178"/>
      <c r="N330" s="178"/>
      <c r="O330" s="178"/>
      <c r="P330" s="178"/>
      <c r="Q330" s="178"/>
      <c r="R330" s="178"/>
      <c r="S330" s="178"/>
      <c r="T330" s="178"/>
    </row>
    <row r="331" spans="2:24" x14ac:dyDescent="0.2">
      <c r="B331" s="178"/>
      <c r="C331" s="178"/>
      <c r="D331" s="178"/>
      <c r="E331" s="178"/>
      <c r="F331" s="178"/>
      <c r="G331" s="178"/>
      <c r="H331" s="178"/>
      <c r="I331" s="178"/>
      <c r="J331" s="178"/>
      <c r="K331" s="178"/>
      <c r="L331" s="178"/>
      <c r="M331" s="178"/>
      <c r="N331" s="178"/>
      <c r="O331" s="178"/>
      <c r="P331" s="178"/>
      <c r="Q331" s="178"/>
      <c r="R331" s="178"/>
      <c r="S331" s="178"/>
      <c r="T331" s="178"/>
    </row>
    <row r="332" spans="2:24" x14ac:dyDescent="0.2">
      <c r="B332" s="178"/>
      <c r="C332" s="178"/>
      <c r="D332" s="178"/>
      <c r="E332" s="178"/>
      <c r="F332" s="178"/>
      <c r="G332" s="178"/>
      <c r="H332" s="178"/>
      <c r="I332" s="178"/>
      <c r="J332" s="178"/>
      <c r="K332" s="178"/>
      <c r="L332" s="178"/>
      <c r="M332" s="178"/>
      <c r="N332" s="178"/>
      <c r="O332" s="178"/>
      <c r="P332" s="178"/>
      <c r="Q332" s="178"/>
      <c r="R332" s="178"/>
      <c r="S332" s="178"/>
      <c r="T332" s="178"/>
    </row>
    <row r="333" spans="2:24" x14ac:dyDescent="0.2">
      <c r="B333" s="178"/>
      <c r="C333" s="178"/>
      <c r="D333" s="178"/>
      <c r="E333" s="178"/>
      <c r="F333" s="178"/>
      <c r="G333" s="178"/>
      <c r="H333" s="178"/>
      <c r="I333" s="178"/>
      <c r="J333" s="178"/>
      <c r="K333" s="178"/>
      <c r="L333" s="178"/>
      <c r="M333" s="178"/>
      <c r="N333" s="178"/>
      <c r="O333" s="178"/>
      <c r="P333" s="178"/>
      <c r="Q333" s="178"/>
      <c r="R333" s="178"/>
      <c r="S333" s="178"/>
      <c r="T333" s="178"/>
    </row>
    <row r="334" spans="2:24" x14ac:dyDescent="0.2">
      <c r="B334" s="178"/>
      <c r="C334" s="178"/>
      <c r="D334" s="178"/>
      <c r="E334" s="178"/>
      <c r="F334" s="178"/>
      <c r="G334" s="178"/>
      <c r="H334" s="178"/>
      <c r="I334" s="178"/>
      <c r="J334" s="178"/>
      <c r="K334" s="178"/>
      <c r="L334" s="178"/>
      <c r="M334" s="178"/>
      <c r="N334" s="178"/>
      <c r="O334" s="178"/>
      <c r="P334" s="178"/>
      <c r="Q334" s="178"/>
      <c r="R334" s="178"/>
      <c r="S334" s="178"/>
      <c r="T334" s="178"/>
    </row>
    <row r="335" spans="2:24" x14ac:dyDescent="0.2">
      <c r="B335" s="178"/>
      <c r="C335" s="178"/>
      <c r="D335" s="178"/>
      <c r="E335" s="178"/>
      <c r="F335" s="178"/>
      <c r="G335" s="178"/>
      <c r="H335" s="178"/>
      <c r="I335" s="178"/>
      <c r="J335" s="178"/>
      <c r="K335" s="178"/>
      <c r="L335" s="178"/>
      <c r="M335" s="178"/>
      <c r="N335" s="178"/>
      <c r="O335" s="178"/>
      <c r="P335" s="178"/>
      <c r="Q335" s="178"/>
      <c r="R335" s="178"/>
      <c r="S335" s="178"/>
      <c r="T335" s="178"/>
    </row>
    <row r="336" spans="2:24" x14ac:dyDescent="0.2">
      <c r="B336" s="178"/>
      <c r="C336" s="178"/>
      <c r="D336" s="178"/>
      <c r="E336" s="178"/>
      <c r="F336" s="178"/>
      <c r="G336" s="178"/>
      <c r="H336" s="178"/>
      <c r="I336" s="178"/>
      <c r="J336" s="178"/>
      <c r="K336" s="178"/>
      <c r="L336" s="178"/>
      <c r="M336" s="178"/>
      <c r="N336" s="178"/>
      <c r="O336" s="178"/>
      <c r="P336" s="178"/>
      <c r="Q336" s="178"/>
      <c r="R336" s="178"/>
      <c r="S336" s="178"/>
      <c r="T336" s="178"/>
      <c r="V336" s="280"/>
      <c r="W336" s="280"/>
      <c r="X336" s="280"/>
    </row>
    <row r="337" spans="2:24" x14ac:dyDescent="0.2">
      <c r="B337" s="178"/>
      <c r="C337" s="178"/>
      <c r="D337" s="178"/>
      <c r="E337" s="178"/>
      <c r="F337" s="178"/>
      <c r="G337" s="178"/>
      <c r="H337" s="178"/>
      <c r="I337" s="178"/>
      <c r="J337" s="178"/>
      <c r="K337" s="178"/>
      <c r="L337" s="178"/>
      <c r="M337" s="178"/>
      <c r="N337" s="178"/>
      <c r="O337" s="178"/>
      <c r="P337" s="178"/>
      <c r="Q337" s="178"/>
      <c r="R337" s="178"/>
      <c r="S337" s="178"/>
      <c r="T337" s="178"/>
      <c r="V337" s="280"/>
      <c r="W337" s="280"/>
      <c r="X337" s="280"/>
    </row>
    <row r="338" spans="2:24" x14ac:dyDescent="0.2">
      <c r="B338" s="178"/>
      <c r="C338" s="178"/>
      <c r="D338" s="178"/>
      <c r="E338" s="178"/>
      <c r="F338" s="178"/>
      <c r="G338" s="178"/>
      <c r="H338" s="178"/>
      <c r="I338" s="178"/>
      <c r="J338" s="178"/>
      <c r="K338" s="178"/>
      <c r="L338" s="178"/>
      <c r="M338" s="178"/>
      <c r="N338" s="178"/>
      <c r="O338" s="178"/>
      <c r="P338" s="178"/>
      <c r="Q338" s="178"/>
      <c r="R338" s="178"/>
      <c r="S338" s="178"/>
      <c r="T338" s="178"/>
      <c r="V338" s="280"/>
      <c r="W338" s="280"/>
      <c r="X338" s="280"/>
    </row>
    <row r="339" spans="2:24" x14ac:dyDescent="0.2">
      <c r="B339" s="178"/>
      <c r="C339" s="178"/>
      <c r="D339" s="178"/>
      <c r="E339" s="178"/>
      <c r="F339" s="178"/>
      <c r="G339" s="178"/>
      <c r="H339" s="178"/>
      <c r="I339" s="178"/>
      <c r="J339" s="178"/>
      <c r="K339" s="178"/>
      <c r="L339" s="178"/>
      <c r="M339" s="178"/>
      <c r="N339" s="178"/>
      <c r="O339" s="178"/>
      <c r="P339" s="178"/>
      <c r="Q339" s="178"/>
      <c r="R339" s="178"/>
      <c r="S339" s="178"/>
      <c r="T339" s="178"/>
      <c r="V339" s="280"/>
      <c r="W339" s="280"/>
      <c r="X339" s="280"/>
    </row>
    <row r="340" spans="2:24" x14ac:dyDescent="0.2">
      <c r="B340" s="178"/>
      <c r="C340" s="178"/>
      <c r="D340" s="178"/>
      <c r="E340" s="178"/>
      <c r="F340" s="178"/>
      <c r="G340" s="178"/>
      <c r="H340" s="178"/>
      <c r="I340" s="178"/>
      <c r="J340" s="178"/>
      <c r="K340" s="178"/>
      <c r="L340" s="178"/>
      <c r="M340" s="178"/>
      <c r="N340" s="178"/>
      <c r="O340" s="178"/>
      <c r="P340" s="178"/>
      <c r="Q340" s="178"/>
      <c r="R340" s="178"/>
      <c r="S340" s="178"/>
      <c r="T340" s="178"/>
      <c r="V340" s="280"/>
      <c r="W340" s="280"/>
      <c r="X340" s="280"/>
    </row>
    <row r="341" spans="2:24" x14ac:dyDescent="0.2">
      <c r="B341" s="178"/>
      <c r="C341" s="178"/>
      <c r="D341" s="178"/>
      <c r="E341" s="178"/>
      <c r="F341" s="178"/>
      <c r="G341" s="178"/>
      <c r="H341" s="178"/>
      <c r="I341" s="178"/>
      <c r="J341" s="178"/>
      <c r="K341" s="178"/>
      <c r="L341" s="178"/>
      <c r="M341" s="178"/>
      <c r="N341" s="178"/>
      <c r="O341" s="178"/>
      <c r="P341" s="178"/>
      <c r="Q341" s="178"/>
      <c r="R341" s="178"/>
      <c r="S341" s="178"/>
      <c r="T341" s="178"/>
      <c r="V341" s="280"/>
      <c r="W341" s="280"/>
      <c r="X341" s="280"/>
    </row>
    <row r="342" spans="2:24" x14ac:dyDescent="0.2">
      <c r="B342" s="178"/>
      <c r="C342" s="178"/>
      <c r="D342" s="178"/>
      <c r="E342" s="178"/>
      <c r="F342" s="178"/>
      <c r="G342" s="178"/>
      <c r="H342" s="178"/>
      <c r="I342" s="178"/>
      <c r="J342" s="178"/>
      <c r="K342" s="178"/>
      <c r="L342" s="178"/>
      <c r="M342" s="178"/>
      <c r="N342" s="178"/>
      <c r="O342" s="178"/>
      <c r="P342" s="178"/>
      <c r="Q342" s="178"/>
      <c r="R342" s="178"/>
      <c r="S342" s="178"/>
      <c r="T342" s="178"/>
      <c r="V342" s="280"/>
      <c r="W342" s="280"/>
      <c r="X342" s="280"/>
    </row>
    <row r="343" spans="2:24" x14ac:dyDescent="0.2">
      <c r="B343" s="178"/>
      <c r="C343" s="178"/>
      <c r="D343" s="178"/>
      <c r="E343" s="178"/>
      <c r="F343" s="178"/>
      <c r="G343" s="178"/>
      <c r="H343" s="178"/>
      <c r="I343" s="178"/>
      <c r="J343" s="178"/>
      <c r="K343" s="178"/>
      <c r="L343" s="178"/>
      <c r="M343" s="178"/>
      <c r="N343" s="178"/>
      <c r="O343" s="178"/>
      <c r="P343" s="178"/>
      <c r="Q343" s="178"/>
      <c r="R343" s="178"/>
      <c r="S343" s="178"/>
      <c r="T343" s="178"/>
      <c r="V343" s="280"/>
      <c r="W343" s="280"/>
      <c r="X343" s="280"/>
    </row>
    <row r="344" spans="2:24" x14ac:dyDescent="0.2">
      <c r="B344" s="178"/>
      <c r="C344" s="178"/>
      <c r="D344" s="178"/>
      <c r="E344" s="178"/>
      <c r="F344" s="178"/>
      <c r="G344" s="178"/>
      <c r="H344" s="178"/>
      <c r="I344" s="178"/>
      <c r="J344" s="178"/>
      <c r="K344" s="178"/>
      <c r="L344" s="178"/>
      <c r="M344" s="178"/>
      <c r="N344" s="178"/>
      <c r="O344" s="178"/>
      <c r="P344" s="178"/>
      <c r="Q344" s="178"/>
      <c r="R344" s="178"/>
      <c r="S344" s="178"/>
      <c r="T344" s="178"/>
      <c r="V344" s="280"/>
      <c r="W344" s="280"/>
      <c r="X344" s="280"/>
    </row>
    <row r="345" spans="2:24" x14ac:dyDescent="0.2">
      <c r="B345" s="178"/>
      <c r="C345" s="178"/>
      <c r="D345" s="178"/>
      <c r="E345" s="178"/>
      <c r="F345" s="178"/>
      <c r="G345" s="178"/>
      <c r="H345" s="178"/>
      <c r="I345" s="178"/>
      <c r="J345" s="178"/>
      <c r="K345" s="178"/>
      <c r="L345" s="178"/>
      <c r="M345" s="178"/>
      <c r="N345" s="178"/>
      <c r="O345" s="178"/>
      <c r="P345" s="178"/>
      <c r="Q345" s="178"/>
      <c r="R345" s="178"/>
      <c r="S345" s="178"/>
      <c r="T345" s="178"/>
      <c r="V345" s="280"/>
      <c r="W345" s="280"/>
      <c r="X345" s="280"/>
    </row>
    <row r="346" spans="2:24" x14ac:dyDescent="0.2">
      <c r="B346" s="178"/>
      <c r="C346" s="178"/>
      <c r="D346" s="178"/>
      <c r="E346" s="178"/>
      <c r="F346" s="178"/>
      <c r="G346" s="178"/>
      <c r="H346" s="178"/>
      <c r="I346" s="178"/>
      <c r="J346" s="178"/>
      <c r="K346" s="178"/>
      <c r="L346" s="178"/>
      <c r="M346" s="178"/>
      <c r="N346" s="178"/>
      <c r="O346" s="178"/>
      <c r="P346" s="178"/>
      <c r="Q346" s="178"/>
      <c r="R346" s="178"/>
      <c r="S346" s="178"/>
      <c r="T346" s="178"/>
      <c r="V346" s="280"/>
      <c r="W346" s="280"/>
      <c r="X346" s="280"/>
    </row>
    <row r="347" spans="2:24" x14ac:dyDescent="0.2">
      <c r="B347" s="178"/>
      <c r="C347" s="178"/>
      <c r="D347" s="178"/>
      <c r="E347" s="178"/>
      <c r="F347" s="178"/>
      <c r="G347" s="178"/>
      <c r="H347" s="178"/>
      <c r="I347" s="178"/>
      <c r="J347" s="178"/>
      <c r="K347" s="178"/>
      <c r="L347" s="178"/>
      <c r="M347" s="178"/>
      <c r="N347" s="178"/>
      <c r="O347" s="178"/>
      <c r="P347" s="178"/>
      <c r="Q347" s="178"/>
      <c r="R347" s="178"/>
      <c r="S347" s="178"/>
      <c r="T347" s="178"/>
      <c r="V347" s="280"/>
      <c r="W347" s="280"/>
      <c r="X347" s="280"/>
    </row>
    <row r="348" spans="2:24" x14ac:dyDescent="0.2">
      <c r="B348" s="178"/>
      <c r="C348" s="178"/>
      <c r="D348" s="178"/>
      <c r="E348" s="178"/>
      <c r="F348" s="178"/>
      <c r="G348" s="178"/>
      <c r="H348" s="178"/>
      <c r="I348" s="178"/>
      <c r="J348" s="178"/>
      <c r="K348" s="178"/>
      <c r="L348" s="178"/>
      <c r="M348" s="178"/>
      <c r="N348" s="178"/>
      <c r="O348" s="178"/>
      <c r="P348" s="178"/>
      <c r="Q348" s="178"/>
      <c r="R348" s="178"/>
      <c r="S348" s="178"/>
      <c r="T348" s="178"/>
      <c r="V348" s="280"/>
      <c r="W348" s="280"/>
      <c r="X348" s="280"/>
    </row>
    <row r="349" spans="2:24" x14ac:dyDescent="0.2">
      <c r="B349" s="178"/>
      <c r="C349" s="178"/>
      <c r="D349" s="178"/>
      <c r="E349" s="178"/>
      <c r="F349" s="178"/>
      <c r="G349" s="178"/>
      <c r="H349" s="178"/>
      <c r="I349" s="178"/>
      <c r="J349" s="178"/>
      <c r="K349" s="178"/>
      <c r="L349" s="178"/>
      <c r="M349" s="178"/>
      <c r="N349" s="178"/>
      <c r="O349" s="178"/>
      <c r="P349" s="178"/>
      <c r="Q349" s="178"/>
      <c r="R349" s="178"/>
      <c r="S349" s="178"/>
      <c r="T349" s="178"/>
      <c r="V349" s="280"/>
      <c r="W349" s="280"/>
      <c r="X349" s="280"/>
    </row>
    <row r="350" spans="2:24" x14ac:dyDescent="0.2">
      <c r="B350" s="178"/>
      <c r="C350" s="178"/>
      <c r="D350" s="178"/>
      <c r="E350" s="178"/>
      <c r="F350" s="178"/>
      <c r="G350" s="178"/>
      <c r="H350" s="178"/>
      <c r="I350" s="178"/>
      <c r="J350" s="178"/>
      <c r="K350" s="178"/>
      <c r="L350" s="178"/>
      <c r="M350" s="178"/>
      <c r="N350" s="178"/>
      <c r="O350" s="178"/>
      <c r="P350" s="178"/>
      <c r="Q350" s="178"/>
      <c r="R350" s="178"/>
      <c r="S350" s="178"/>
      <c r="T350" s="178"/>
      <c r="V350" s="280"/>
      <c r="W350" s="280"/>
      <c r="X350" s="280"/>
    </row>
    <row r="351" spans="2:24" x14ac:dyDescent="0.2">
      <c r="B351" s="178"/>
      <c r="C351" s="178"/>
      <c r="D351" s="178"/>
      <c r="E351" s="178"/>
      <c r="F351" s="178"/>
      <c r="G351" s="178"/>
      <c r="H351" s="178"/>
      <c r="I351" s="178"/>
      <c r="J351" s="178"/>
      <c r="K351" s="178"/>
      <c r="L351" s="178"/>
      <c r="M351" s="178"/>
      <c r="N351" s="178"/>
      <c r="O351" s="178"/>
      <c r="P351" s="178"/>
      <c r="Q351" s="178"/>
      <c r="R351" s="178"/>
      <c r="S351" s="178"/>
      <c r="T351" s="178"/>
      <c r="V351" s="280"/>
      <c r="W351" s="280"/>
      <c r="X351" s="280"/>
    </row>
    <row r="352" spans="2:24" x14ac:dyDescent="0.2">
      <c r="B352" s="178"/>
      <c r="C352" s="178"/>
      <c r="D352" s="178"/>
      <c r="E352" s="178"/>
      <c r="F352" s="178"/>
      <c r="G352" s="178"/>
      <c r="H352" s="178"/>
      <c r="I352" s="178"/>
      <c r="J352" s="178"/>
      <c r="K352" s="178"/>
      <c r="L352" s="178"/>
      <c r="M352" s="178"/>
      <c r="N352" s="178"/>
      <c r="O352" s="178"/>
      <c r="P352" s="178"/>
      <c r="Q352" s="178"/>
      <c r="R352" s="178"/>
      <c r="S352" s="178"/>
      <c r="T352" s="178"/>
      <c r="V352" s="280"/>
      <c r="W352" s="280"/>
      <c r="X352" s="280"/>
    </row>
    <row r="353" spans="2:20" x14ac:dyDescent="0.2">
      <c r="B353" s="178"/>
      <c r="C353" s="178"/>
      <c r="D353" s="178"/>
      <c r="E353" s="178"/>
      <c r="F353" s="178"/>
      <c r="G353" s="178"/>
      <c r="H353" s="178"/>
      <c r="I353" s="178"/>
      <c r="J353" s="178"/>
      <c r="K353" s="178"/>
      <c r="L353" s="178"/>
      <c r="M353" s="178"/>
      <c r="N353" s="178"/>
      <c r="O353" s="178"/>
      <c r="P353" s="178"/>
      <c r="Q353" s="178"/>
      <c r="R353" s="178"/>
      <c r="S353" s="178"/>
      <c r="T353" s="178"/>
    </row>
    <row r="354" spans="2:20" x14ac:dyDescent="0.2">
      <c r="B354" s="178"/>
      <c r="C354" s="178"/>
      <c r="D354" s="178"/>
      <c r="E354" s="178"/>
      <c r="F354" s="178"/>
      <c r="G354" s="178"/>
      <c r="H354" s="178"/>
      <c r="I354" s="178"/>
      <c r="J354" s="178"/>
      <c r="K354" s="178"/>
      <c r="L354" s="178"/>
      <c r="M354" s="178"/>
      <c r="N354" s="178"/>
      <c r="O354" s="178"/>
      <c r="P354" s="178"/>
      <c r="Q354" s="178"/>
      <c r="R354" s="178"/>
      <c r="S354" s="178"/>
      <c r="T354" s="178"/>
    </row>
    <row r="355" spans="2:20" x14ac:dyDescent="0.2">
      <c r="B355" s="178"/>
      <c r="C355" s="178"/>
      <c r="D355" s="178"/>
      <c r="E355" s="178"/>
      <c r="F355" s="178"/>
      <c r="G355" s="178"/>
      <c r="H355" s="178"/>
      <c r="I355" s="178"/>
      <c r="J355" s="178"/>
      <c r="K355" s="178"/>
      <c r="L355" s="178"/>
      <c r="M355" s="178"/>
      <c r="N355" s="178"/>
      <c r="O355" s="178"/>
      <c r="P355" s="178"/>
      <c r="Q355" s="178"/>
      <c r="R355" s="178"/>
      <c r="S355" s="178"/>
      <c r="T355" s="178"/>
    </row>
    <row r="356" spans="2:20" x14ac:dyDescent="0.2">
      <c r="B356" s="178"/>
      <c r="C356" s="178"/>
      <c r="D356" s="178"/>
      <c r="E356" s="178"/>
      <c r="F356" s="178"/>
      <c r="G356" s="178"/>
      <c r="H356" s="178"/>
      <c r="I356" s="178"/>
      <c r="J356" s="178"/>
      <c r="K356" s="178"/>
      <c r="L356" s="178"/>
      <c r="M356" s="178"/>
      <c r="N356" s="178"/>
      <c r="O356" s="178"/>
      <c r="P356" s="178"/>
      <c r="Q356" s="178"/>
      <c r="R356" s="178"/>
      <c r="S356" s="178"/>
      <c r="T356" s="178"/>
    </row>
    <row r="357" spans="2:20" x14ac:dyDescent="0.2">
      <c r="B357" s="178"/>
      <c r="C357" s="178"/>
      <c r="D357" s="178"/>
      <c r="E357" s="178"/>
      <c r="F357" s="178"/>
      <c r="G357" s="178"/>
      <c r="H357" s="178"/>
      <c r="I357" s="178"/>
      <c r="J357" s="178"/>
      <c r="K357" s="178"/>
      <c r="L357" s="178"/>
      <c r="M357" s="178"/>
      <c r="N357" s="178"/>
      <c r="O357" s="178"/>
      <c r="P357" s="178"/>
      <c r="Q357" s="178"/>
      <c r="R357" s="178"/>
      <c r="S357" s="178"/>
      <c r="T357" s="178"/>
    </row>
    <row r="358" spans="2:20" x14ac:dyDescent="0.2">
      <c r="B358" s="178"/>
      <c r="C358" s="178"/>
      <c r="D358" s="178"/>
      <c r="E358" s="178"/>
      <c r="F358" s="178"/>
      <c r="G358" s="178"/>
      <c r="H358" s="178"/>
      <c r="I358" s="178"/>
      <c r="J358" s="178"/>
      <c r="K358" s="178"/>
      <c r="L358" s="178"/>
      <c r="M358" s="178"/>
      <c r="N358" s="178"/>
      <c r="O358" s="178"/>
      <c r="P358" s="178"/>
      <c r="Q358" s="178"/>
      <c r="R358" s="178"/>
      <c r="S358" s="178"/>
      <c r="T358" s="178"/>
    </row>
    <row r="359" spans="2:20" x14ac:dyDescent="0.2">
      <c r="B359" s="178"/>
      <c r="C359" s="178"/>
      <c r="D359" s="178"/>
      <c r="E359" s="178"/>
      <c r="F359" s="178"/>
      <c r="G359" s="178"/>
      <c r="H359" s="178"/>
      <c r="I359" s="178"/>
      <c r="J359" s="178"/>
      <c r="K359" s="178"/>
      <c r="L359" s="178"/>
      <c r="M359" s="178"/>
      <c r="N359" s="178"/>
      <c r="O359" s="178"/>
      <c r="P359" s="178"/>
      <c r="Q359" s="178"/>
      <c r="R359" s="178"/>
      <c r="S359" s="178"/>
      <c r="T359" s="178"/>
    </row>
    <row r="360" spans="2:20" x14ac:dyDescent="0.2">
      <c r="B360" s="178"/>
      <c r="C360" s="178"/>
      <c r="D360" s="178"/>
      <c r="E360" s="178"/>
      <c r="F360" s="178"/>
      <c r="G360" s="178"/>
      <c r="H360" s="178"/>
      <c r="I360" s="178"/>
      <c r="J360" s="178"/>
      <c r="K360" s="178"/>
      <c r="L360" s="178"/>
      <c r="M360" s="178"/>
      <c r="N360" s="178"/>
      <c r="O360" s="178"/>
      <c r="P360" s="178"/>
      <c r="Q360" s="178"/>
      <c r="R360" s="178"/>
      <c r="S360" s="178"/>
      <c r="T360" s="178"/>
    </row>
    <row r="361" spans="2:20" x14ac:dyDescent="0.2">
      <c r="B361" s="178"/>
      <c r="C361" s="178"/>
      <c r="D361" s="178"/>
      <c r="E361" s="178"/>
      <c r="F361" s="178"/>
      <c r="G361" s="178"/>
      <c r="H361" s="178"/>
      <c r="I361" s="178"/>
      <c r="J361" s="178"/>
      <c r="K361" s="178"/>
      <c r="L361" s="178"/>
      <c r="M361" s="178"/>
      <c r="N361" s="178"/>
      <c r="O361" s="178"/>
      <c r="P361" s="178"/>
      <c r="Q361" s="178"/>
      <c r="R361" s="178"/>
      <c r="S361" s="178"/>
      <c r="T361" s="178"/>
    </row>
    <row r="362" spans="2:20" x14ac:dyDescent="0.2">
      <c r="B362" s="178"/>
      <c r="C362" s="178"/>
      <c r="D362" s="178"/>
      <c r="E362" s="178"/>
      <c r="F362" s="178"/>
      <c r="G362" s="178"/>
      <c r="H362" s="178"/>
      <c r="I362" s="178"/>
      <c r="J362" s="178"/>
      <c r="K362" s="178"/>
      <c r="L362" s="178"/>
      <c r="M362" s="178"/>
      <c r="N362" s="178"/>
      <c r="O362" s="178"/>
      <c r="P362" s="178"/>
      <c r="Q362" s="178"/>
      <c r="R362" s="178"/>
      <c r="S362" s="178"/>
      <c r="T362" s="178"/>
    </row>
    <row r="363" spans="2:20" x14ac:dyDescent="0.2">
      <c r="B363" s="178"/>
      <c r="C363" s="178"/>
      <c r="D363" s="178"/>
      <c r="E363" s="178"/>
      <c r="F363" s="178"/>
      <c r="G363" s="178"/>
      <c r="H363" s="178"/>
      <c r="I363" s="178"/>
      <c r="J363" s="178"/>
      <c r="K363" s="178"/>
      <c r="L363" s="178"/>
      <c r="M363" s="178"/>
      <c r="N363" s="178"/>
      <c r="O363" s="178"/>
      <c r="P363" s="178"/>
      <c r="Q363" s="178"/>
      <c r="R363" s="178"/>
      <c r="S363" s="178"/>
      <c r="T363" s="178"/>
    </row>
    <row r="364" spans="2:20" x14ac:dyDescent="0.2">
      <c r="B364" s="178"/>
      <c r="C364" s="178"/>
      <c r="D364" s="178"/>
      <c r="E364" s="178"/>
      <c r="F364" s="178"/>
      <c r="G364" s="178"/>
      <c r="H364" s="178"/>
      <c r="I364" s="178"/>
      <c r="J364" s="178"/>
      <c r="K364" s="178"/>
      <c r="L364" s="178"/>
      <c r="M364" s="178"/>
      <c r="N364" s="178"/>
      <c r="O364" s="178"/>
      <c r="P364" s="178"/>
      <c r="Q364" s="178"/>
      <c r="R364" s="178"/>
      <c r="S364" s="178"/>
      <c r="T364" s="178"/>
    </row>
    <row r="365" spans="2:20" x14ac:dyDescent="0.2">
      <c r="B365" s="178"/>
      <c r="C365" s="178"/>
      <c r="D365" s="178"/>
      <c r="E365" s="178"/>
      <c r="F365" s="178"/>
      <c r="G365" s="178"/>
      <c r="H365" s="178"/>
      <c r="I365" s="178"/>
      <c r="J365" s="178"/>
      <c r="K365" s="178"/>
      <c r="L365" s="178"/>
      <c r="M365" s="178"/>
      <c r="N365" s="178"/>
      <c r="O365" s="178"/>
      <c r="P365" s="178"/>
      <c r="Q365" s="178"/>
      <c r="R365" s="178"/>
      <c r="S365" s="178"/>
      <c r="T365" s="178"/>
    </row>
    <row r="366" spans="2:20" x14ac:dyDescent="0.2">
      <c r="B366" s="178"/>
      <c r="C366" s="178"/>
      <c r="D366" s="178"/>
      <c r="E366" s="178"/>
      <c r="F366" s="178"/>
      <c r="G366" s="178"/>
      <c r="H366" s="178"/>
      <c r="I366" s="178"/>
      <c r="J366" s="178"/>
      <c r="K366" s="178"/>
      <c r="L366" s="178"/>
      <c r="M366" s="178"/>
      <c r="N366" s="178"/>
      <c r="O366" s="178"/>
      <c r="P366" s="178"/>
      <c r="Q366" s="178"/>
      <c r="R366" s="178"/>
      <c r="S366" s="178"/>
      <c r="T366" s="178"/>
    </row>
    <row r="367" spans="2:20" x14ac:dyDescent="0.2">
      <c r="B367" s="178"/>
      <c r="C367" s="178"/>
      <c r="D367" s="178"/>
      <c r="E367" s="178"/>
      <c r="F367" s="178"/>
      <c r="G367" s="178"/>
      <c r="H367" s="178"/>
      <c r="I367" s="178"/>
      <c r="J367" s="178"/>
      <c r="K367" s="178"/>
      <c r="L367" s="178"/>
      <c r="M367" s="178"/>
      <c r="N367" s="178"/>
      <c r="O367" s="178"/>
      <c r="P367" s="178"/>
      <c r="Q367" s="178"/>
      <c r="R367" s="178"/>
      <c r="S367" s="178"/>
      <c r="T367" s="178"/>
    </row>
    <row r="368" spans="2:20" x14ac:dyDescent="0.2">
      <c r="B368" s="178"/>
      <c r="C368" s="178"/>
      <c r="D368" s="178"/>
      <c r="E368" s="178"/>
      <c r="F368" s="178"/>
      <c r="G368" s="178"/>
      <c r="H368" s="178"/>
      <c r="I368" s="178"/>
      <c r="J368" s="178"/>
      <c r="K368" s="178"/>
      <c r="L368" s="178"/>
      <c r="M368" s="178"/>
      <c r="N368" s="178"/>
      <c r="O368" s="178"/>
      <c r="P368" s="178"/>
      <c r="Q368" s="178"/>
      <c r="R368" s="178"/>
      <c r="S368" s="178"/>
      <c r="T368" s="178"/>
    </row>
    <row r="369" spans="2:20" x14ac:dyDescent="0.2">
      <c r="B369" s="178"/>
      <c r="C369" s="178"/>
      <c r="D369" s="178"/>
      <c r="E369" s="178"/>
      <c r="F369" s="178"/>
      <c r="G369" s="178"/>
      <c r="H369" s="178"/>
      <c r="I369" s="178"/>
      <c r="J369" s="178"/>
      <c r="K369" s="178"/>
      <c r="L369" s="178"/>
      <c r="M369" s="178"/>
      <c r="N369" s="178"/>
      <c r="O369" s="178"/>
      <c r="P369" s="178"/>
      <c r="Q369" s="178"/>
      <c r="R369" s="178"/>
      <c r="S369" s="178"/>
      <c r="T369" s="178"/>
    </row>
    <row r="370" spans="2:20" x14ac:dyDescent="0.2">
      <c r="B370" s="178"/>
      <c r="C370" s="178"/>
      <c r="D370" s="178"/>
      <c r="E370" s="178"/>
      <c r="F370" s="178"/>
      <c r="G370" s="178"/>
      <c r="H370" s="178"/>
      <c r="I370" s="178"/>
      <c r="J370" s="178"/>
      <c r="K370" s="178"/>
      <c r="L370" s="178"/>
      <c r="M370" s="178"/>
      <c r="N370" s="178"/>
      <c r="O370" s="178"/>
      <c r="P370" s="178"/>
      <c r="Q370" s="178"/>
      <c r="R370" s="178"/>
      <c r="S370" s="178"/>
      <c r="T370" s="178"/>
    </row>
    <row r="371" spans="2:20" x14ac:dyDescent="0.2">
      <c r="B371" s="178"/>
      <c r="C371" s="178"/>
      <c r="D371" s="178"/>
      <c r="E371" s="178"/>
      <c r="F371" s="178"/>
      <c r="G371" s="178"/>
      <c r="H371" s="178"/>
      <c r="I371" s="178"/>
      <c r="J371" s="178"/>
      <c r="K371" s="178"/>
      <c r="L371" s="178"/>
      <c r="M371" s="178"/>
      <c r="N371" s="178"/>
      <c r="O371" s="178"/>
      <c r="P371" s="178"/>
      <c r="Q371" s="178"/>
      <c r="R371" s="178"/>
      <c r="S371" s="178"/>
      <c r="T371" s="178"/>
    </row>
    <row r="372" spans="2:20" x14ac:dyDescent="0.2">
      <c r="B372" s="178"/>
      <c r="C372" s="178"/>
      <c r="D372" s="178"/>
      <c r="E372" s="178"/>
      <c r="F372" s="178"/>
      <c r="G372" s="178"/>
      <c r="H372" s="178"/>
      <c r="I372" s="178"/>
      <c r="J372" s="178"/>
      <c r="K372" s="178"/>
      <c r="L372" s="178"/>
      <c r="M372" s="178"/>
      <c r="N372" s="178"/>
      <c r="O372" s="178"/>
      <c r="P372" s="178"/>
      <c r="Q372" s="178"/>
      <c r="R372" s="178"/>
      <c r="S372" s="178"/>
      <c r="T372" s="178"/>
    </row>
    <row r="373" spans="2:20" x14ac:dyDescent="0.2">
      <c r="B373" s="178"/>
      <c r="C373" s="178"/>
      <c r="D373" s="178"/>
      <c r="E373" s="178"/>
      <c r="F373" s="178"/>
      <c r="G373" s="178"/>
      <c r="H373" s="178"/>
      <c r="I373" s="178"/>
      <c r="J373" s="178"/>
      <c r="K373" s="178"/>
      <c r="L373" s="178"/>
      <c r="M373" s="178"/>
      <c r="N373" s="178"/>
      <c r="O373" s="178"/>
      <c r="P373" s="178"/>
      <c r="Q373" s="178"/>
      <c r="R373" s="178"/>
      <c r="S373" s="178"/>
      <c r="T373" s="178"/>
    </row>
  </sheetData>
  <sheetProtection algorithmName="SHA-512" hashValue="MMd5N/G9gfvj7h01lq9C+Vj/UTlOwJkxkKx3RVb3GerPMtbHZGeQqig3xVfJ9izAnESlE1xiNHJRJt1IhnpEfg==" saltValue="qy1h6d9iwc+fdWLhhLzjiA==" spinCount="100000" sheet="1" objects="1" scenarios="1"/>
  <mergeCells count="360">
    <mergeCell ref="R19:S19"/>
    <mergeCell ref="L97:M97"/>
    <mergeCell ref="P16:S16"/>
    <mergeCell ref="B15:E18"/>
    <mergeCell ref="L85:M85"/>
    <mergeCell ref="L86:M86"/>
    <mergeCell ref="L87:M87"/>
    <mergeCell ref="L88:M88"/>
    <mergeCell ref="L89:M89"/>
    <mergeCell ref="N96:S96"/>
    <mergeCell ref="R53:S53"/>
    <mergeCell ref="R50:S50"/>
    <mergeCell ref="R34:S34"/>
    <mergeCell ref="H44:I44"/>
    <mergeCell ref="M44:N44"/>
    <mergeCell ref="R44:S44"/>
    <mergeCell ref="H45:I45"/>
    <mergeCell ref="M29:N29"/>
    <mergeCell ref="M21:N21"/>
    <mergeCell ref="M46:N46"/>
    <mergeCell ref="R27:S27"/>
    <mergeCell ref="R23:S23"/>
    <mergeCell ref="P35:Q35"/>
    <mergeCell ref="P17:S17"/>
    <mergeCell ref="M19:N19"/>
    <mergeCell ref="N80:S80"/>
    <mergeCell ref="N86:S86"/>
    <mergeCell ref="L96:M96"/>
    <mergeCell ref="N88:S88"/>
    <mergeCell ref="L93:M93"/>
    <mergeCell ref="L94:M94"/>
    <mergeCell ref="N81:S81"/>
    <mergeCell ref="N90:S90"/>
    <mergeCell ref="L90:M90"/>
    <mergeCell ref="N91:S91"/>
    <mergeCell ref="N92:S92"/>
    <mergeCell ref="N93:S93"/>
    <mergeCell ref="L91:M91"/>
    <mergeCell ref="L92:M92"/>
    <mergeCell ref="N95:S95"/>
    <mergeCell ref="M34:N34"/>
    <mergeCell ref="R33:S33"/>
    <mergeCell ref="R64:S64"/>
    <mergeCell ref="M23:N23"/>
    <mergeCell ref="M26:N26"/>
    <mergeCell ref="N66:O66"/>
    <mergeCell ref="P66:Q66"/>
    <mergeCell ref="R66:S66"/>
    <mergeCell ref="Q5:S5"/>
    <mergeCell ref="Q14:S14"/>
    <mergeCell ref="L7:M7"/>
    <mergeCell ref="F46:G46"/>
    <mergeCell ref="F56:G56"/>
    <mergeCell ref="K56:L56"/>
    <mergeCell ref="P56:Q56"/>
    <mergeCell ref="H54:I54"/>
    <mergeCell ref="M54:N54"/>
    <mergeCell ref="K16:N16"/>
    <mergeCell ref="H21:I21"/>
    <mergeCell ref="H46:I46"/>
    <mergeCell ref="H32:I32"/>
    <mergeCell ref="M32:N32"/>
    <mergeCell ref="H43:I43"/>
    <mergeCell ref="M43:N43"/>
    <mergeCell ref="R43:S43"/>
    <mergeCell ref="H33:I33"/>
    <mergeCell ref="H29:I29"/>
    <mergeCell ref="H34:I34"/>
    <mergeCell ref="M45:N45"/>
    <mergeCell ref="K17:N17"/>
    <mergeCell ref="M18:N18"/>
    <mergeCell ref="R18:S18"/>
    <mergeCell ref="F58:I58"/>
    <mergeCell ref="R56:S56"/>
    <mergeCell ref="H53:I53"/>
    <mergeCell ref="M53:N53"/>
    <mergeCell ref="R26:S26"/>
    <mergeCell ref="R35:S35"/>
    <mergeCell ref="F33:G33"/>
    <mergeCell ref="F35:G35"/>
    <mergeCell ref="K46:L46"/>
    <mergeCell ref="P46:Q46"/>
    <mergeCell ref="R32:S32"/>
    <mergeCell ref="K35:L35"/>
    <mergeCell ref="R45:S45"/>
    <mergeCell ref="R54:S54"/>
    <mergeCell ref="H55:I55"/>
    <mergeCell ref="M55:N55"/>
    <mergeCell ref="B50:F50"/>
    <mergeCell ref="N76:S76"/>
    <mergeCell ref="Q70:S70"/>
    <mergeCell ref="P63:Q63"/>
    <mergeCell ref="N67:O67"/>
    <mergeCell ref="P67:Q67"/>
    <mergeCell ref="R67:S67"/>
    <mergeCell ref="L67:M67"/>
    <mergeCell ref="L64:M64"/>
    <mergeCell ref="R55:S55"/>
    <mergeCell ref="R63:S63"/>
    <mergeCell ref="N64:O64"/>
    <mergeCell ref="P64:Q64"/>
    <mergeCell ref="P58:S58"/>
    <mergeCell ref="M56:N56"/>
    <mergeCell ref="Q61:S61"/>
    <mergeCell ref="V70:X74"/>
    <mergeCell ref="N100:S100"/>
    <mergeCell ref="L79:M79"/>
    <mergeCell ref="L80:M80"/>
    <mergeCell ref="L81:M81"/>
    <mergeCell ref="L82:M82"/>
    <mergeCell ref="L83:M83"/>
    <mergeCell ref="L84:M84"/>
    <mergeCell ref="N82:S82"/>
    <mergeCell ref="N83:S83"/>
    <mergeCell ref="N87:S87"/>
    <mergeCell ref="N84:S84"/>
    <mergeCell ref="N85:S85"/>
    <mergeCell ref="N79:S79"/>
    <mergeCell ref="L72:M72"/>
    <mergeCell ref="L73:M73"/>
    <mergeCell ref="L74:M74"/>
    <mergeCell ref="L75:M75"/>
    <mergeCell ref="L76:M76"/>
    <mergeCell ref="L77:M77"/>
    <mergeCell ref="L78:M78"/>
    <mergeCell ref="N89:S89"/>
    <mergeCell ref="N98:S98"/>
    <mergeCell ref="N97:S97"/>
    <mergeCell ref="A183:T183"/>
    <mergeCell ref="B186:S186"/>
    <mergeCell ref="B153:B154"/>
    <mergeCell ref="B178:S178"/>
    <mergeCell ref="B179:S180"/>
    <mergeCell ref="N143:O143"/>
    <mergeCell ref="L155:M155"/>
    <mergeCell ref="L156:M156"/>
    <mergeCell ref="J162:K162"/>
    <mergeCell ref="L173:M173"/>
    <mergeCell ref="D167:E167"/>
    <mergeCell ref="F167:G167"/>
    <mergeCell ref="H167:I167"/>
    <mergeCell ref="J167:K167"/>
    <mergeCell ref="L167:M167"/>
    <mergeCell ref="L177:M177"/>
    <mergeCell ref="L154:M154"/>
    <mergeCell ref="L176:M176"/>
    <mergeCell ref="L160:M160"/>
    <mergeCell ref="L161:M161"/>
    <mergeCell ref="L174:M174"/>
    <mergeCell ref="L169:M169"/>
    <mergeCell ref="D163:E163"/>
    <mergeCell ref="L172:M172"/>
    <mergeCell ref="A1:T1"/>
    <mergeCell ref="A3:T3"/>
    <mergeCell ref="N74:S74"/>
    <mergeCell ref="N75:S75"/>
    <mergeCell ref="B25:E25"/>
    <mergeCell ref="B26:E26"/>
    <mergeCell ref="F16:I16"/>
    <mergeCell ref="F17:I17"/>
    <mergeCell ref="R24:S24"/>
    <mergeCell ref="R25:S25"/>
    <mergeCell ref="R29:S29"/>
    <mergeCell ref="R21:S21"/>
    <mergeCell ref="R46:S46"/>
    <mergeCell ref="M24:N24"/>
    <mergeCell ref="M40:N40"/>
    <mergeCell ref="B19:E19"/>
    <mergeCell ref="B23:E23"/>
    <mergeCell ref="R40:S40"/>
    <mergeCell ref="H50:I50"/>
    <mergeCell ref="M25:N25"/>
    <mergeCell ref="K58:N58"/>
    <mergeCell ref="N63:O63"/>
    <mergeCell ref="B21:E21"/>
    <mergeCell ref="F66:G66"/>
    <mergeCell ref="B24:E24"/>
    <mergeCell ref="L165:M165"/>
    <mergeCell ref="J136:K136"/>
    <mergeCell ref="J138:K138"/>
    <mergeCell ref="J140:K140"/>
    <mergeCell ref="J142:K142"/>
    <mergeCell ref="F136:G136"/>
    <mergeCell ref="F138:G138"/>
    <mergeCell ref="F140:G140"/>
    <mergeCell ref="F158:G158"/>
    <mergeCell ref="F159:G159"/>
    <mergeCell ref="L138:M138"/>
    <mergeCell ref="L140:M140"/>
    <mergeCell ref="L142:M142"/>
    <mergeCell ref="L137:M137"/>
    <mergeCell ref="L159:M159"/>
    <mergeCell ref="F142:G142"/>
    <mergeCell ref="L153:M153"/>
    <mergeCell ref="L158:M158"/>
    <mergeCell ref="L141:M141"/>
    <mergeCell ref="L139:M139"/>
    <mergeCell ref="B29:E29"/>
    <mergeCell ref="M50:N50"/>
    <mergeCell ref="M33:N33"/>
    <mergeCell ref="L171:M171"/>
    <mergeCell ref="J161:K161"/>
    <mergeCell ref="J137:K137"/>
    <mergeCell ref="L162:M162"/>
    <mergeCell ref="L163:M163"/>
    <mergeCell ref="L164:M164"/>
    <mergeCell ref="I144:J144"/>
    <mergeCell ref="L143:M143"/>
    <mergeCell ref="L157:M157"/>
    <mergeCell ref="J160:K160"/>
    <mergeCell ref="J163:K163"/>
    <mergeCell ref="J164:K164"/>
    <mergeCell ref="J165:K165"/>
    <mergeCell ref="L168:M168"/>
    <mergeCell ref="J157:K157"/>
    <mergeCell ref="J158:K158"/>
    <mergeCell ref="J159:K159"/>
    <mergeCell ref="H18:I18"/>
    <mergeCell ref="H19:I19"/>
    <mergeCell ref="H24:I24"/>
    <mergeCell ref="H25:I25"/>
    <mergeCell ref="L102:M102"/>
    <mergeCell ref="L103:M103"/>
    <mergeCell ref="L119:M119"/>
    <mergeCell ref="M27:N27"/>
    <mergeCell ref="H56:I56"/>
    <mergeCell ref="L98:M98"/>
    <mergeCell ref="L106:M106"/>
    <mergeCell ref="H27:I27"/>
    <mergeCell ref="H23:I23"/>
    <mergeCell ref="H26:I26"/>
    <mergeCell ref="H35:I35"/>
    <mergeCell ref="M35:N35"/>
    <mergeCell ref="L63:M63"/>
    <mergeCell ref="N103:S103"/>
    <mergeCell ref="N105:S105"/>
    <mergeCell ref="I65:K65"/>
    <mergeCell ref="L66:M66"/>
    <mergeCell ref="N106:S106"/>
    <mergeCell ref="N94:S94"/>
    <mergeCell ref="N111:S111"/>
    <mergeCell ref="N77:S77"/>
    <mergeCell ref="N99:S99"/>
    <mergeCell ref="L134:M134"/>
    <mergeCell ref="L135:M135"/>
    <mergeCell ref="L104:M104"/>
    <mergeCell ref="L105:M105"/>
    <mergeCell ref="L114:M114"/>
    <mergeCell ref="L124:M124"/>
    <mergeCell ref="L116:M116"/>
    <mergeCell ref="L125:M125"/>
    <mergeCell ref="L115:M115"/>
    <mergeCell ref="L118:M118"/>
    <mergeCell ref="L108:M108"/>
    <mergeCell ref="N101:S101"/>
    <mergeCell ref="N117:S117"/>
    <mergeCell ref="N122:S122"/>
    <mergeCell ref="Q130:S130"/>
    <mergeCell ref="N104:S104"/>
    <mergeCell ref="N125:S125"/>
    <mergeCell ref="N112:S112"/>
    <mergeCell ref="N102:S102"/>
    <mergeCell ref="N116:S116"/>
    <mergeCell ref="N126:S126"/>
    <mergeCell ref="N113:S113"/>
    <mergeCell ref="L111:M111"/>
    <mergeCell ref="N121:S121"/>
    <mergeCell ref="N118:S118"/>
    <mergeCell ref="R123:S123"/>
    <mergeCell ref="D159:E159"/>
    <mergeCell ref="D161:E161"/>
    <mergeCell ref="D162:E162"/>
    <mergeCell ref="H163:I163"/>
    <mergeCell ref="D165:E165"/>
    <mergeCell ref="D160:E160"/>
    <mergeCell ref="F164:G164"/>
    <mergeCell ref="F160:G160"/>
    <mergeCell ref="F165:G165"/>
    <mergeCell ref="F161:G161"/>
    <mergeCell ref="F162:G162"/>
    <mergeCell ref="F163:G163"/>
    <mergeCell ref="H161:I161"/>
    <mergeCell ref="H162:I162"/>
    <mergeCell ref="D164:E164"/>
    <mergeCell ref="H164:I164"/>
    <mergeCell ref="F134:G134"/>
    <mergeCell ref="H158:I158"/>
    <mergeCell ref="H135:I135"/>
    <mergeCell ref="H137:I137"/>
    <mergeCell ref="N119:S119"/>
    <mergeCell ref="N120:S120"/>
    <mergeCell ref="L112:M112"/>
    <mergeCell ref="L113:M113"/>
    <mergeCell ref="N142:O142"/>
    <mergeCell ref="H165:I165"/>
    <mergeCell ref="H159:I159"/>
    <mergeCell ref="H160:I160"/>
    <mergeCell ref="N139:O139"/>
    <mergeCell ref="J135:K135"/>
    <mergeCell ref="J134:K134"/>
    <mergeCell ref="N135:O135"/>
    <mergeCell ref="N114:S114"/>
    <mergeCell ref="N141:O141"/>
    <mergeCell ref="N137:O137"/>
    <mergeCell ref="N136:O136"/>
    <mergeCell ref="N140:O140"/>
    <mergeCell ref="H139:I139"/>
    <mergeCell ref="H141:I141"/>
    <mergeCell ref="H136:I136"/>
    <mergeCell ref="H138:I138"/>
    <mergeCell ref="H140:I140"/>
    <mergeCell ref="L136:M136"/>
    <mergeCell ref="D9:H9"/>
    <mergeCell ref="M9:Q9"/>
    <mergeCell ref="H142:I142"/>
    <mergeCell ref="H157:I157"/>
    <mergeCell ref="H40:I40"/>
    <mergeCell ref="F157:G157"/>
    <mergeCell ref="B46:E46"/>
    <mergeCell ref="F130:O130"/>
    <mergeCell ref="N134:O134"/>
    <mergeCell ref="F64:G64"/>
    <mergeCell ref="J141:K141"/>
    <mergeCell ref="B126:J126"/>
    <mergeCell ref="L126:M126"/>
    <mergeCell ref="L65:S65"/>
    <mergeCell ref="N107:S107"/>
    <mergeCell ref="N108:S108"/>
    <mergeCell ref="N109:S109"/>
    <mergeCell ref="N110:S110"/>
    <mergeCell ref="L99:M99"/>
    <mergeCell ref="L100:M100"/>
    <mergeCell ref="L101:M101"/>
    <mergeCell ref="L109:M109"/>
    <mergeCell ref="B40:E40"/>
    <mergeCell ref="L110:M110"/>
    <mergeCell ref="V123:Z125"/>
    <mergeCell ref="BA150:BB156"/>
    <mergeCell ref="BA157:BB157"/>
    <mergeCell ref="D157:E157"/>
    <mergeCell ref="D158:E158"/>
    <mergeCell ref="F141:G141"/>
    <mergeCell ref="B74:J74"/>
    <mergeCell ref="I149:J149"/>
    <mergeCell ref="N78:S78"/>
    <mergeCell ref="L127:M127"/>
    <mergeCell ref="N127:S127"/>
    <mergeCell ref="L120:M120"/>
    <mergeCell ref="F135:G135"/>
    <mergeCell ref="F137:G137"/>
    <mergeCell ref="F139:G139"/>
    <mergeCell ref="J139:K139"/>
    <mergeCell ref="B123:J123"/>
    <mergeCell ref="B125:J125"/>
    <mergeCell ref="L121:M121"/>
    <mergeCell ref="N138:O138"/>
    <mergeCell ref="L122:M122"/>
    <mergeCell ref="L123:M123"/>
    <mergeCell ref="L107:M107"/>
    <mergeCell ref="H134:I134"/>
  </mergeCells>
  <conditionalFormatting sqref="B179:S180">
    <cfRule type="expression" dxfId="63" priority="132">
      <formula>$L$177&lt;&gt;0</formula>
    </cfRule>
  </conditionalFormatting>
  <conditionalFormatting sqref="H141:I141">
    <cfRule type="expression" dxfId="62" priority="174">
      <formula>((H141&lt;F141)=TRUE)</formula>
    </cfRule>
  </conditionalFormatting>
  <conditionalFormatting sqref="H137:I137">
    <cfRule type="expression" dxfId="61" priority="166">
      <formula>(OR(H137&lt;F137,H137&gt;J137)=TRUE)</formula>
    </cfRule>
  </conditionalFormatting>
  <conditionalFormatting sqref="H139:I139">
    <cfRule type="expression" dxfId="60" priority="170">
      <formula>((H139&lt;F139)=TRUE)</formula>
    </cfRule>
  </conditionalFormatting>
  <conditionalFormatting sqref="C5 C14 C61 C70 C130 C152">
    <cfRule type="containsText" dxfId="59" priority="58" operator="containsText" text="Complete">
      <formula>NOT(ISERROR(SEARCH("Complete",C5)))</formula>
    </cfRule>
  </conditionalFormatting>
  <conditionalFormatting sqref="E64">
    <cfRule type="expression" dxfId="58" priority="55">
      <formula>ISBLANK(F64)=TRUE</formula>
    </cfRule>
  </conditionalFormatting>
  <conditionalFormatting sqref="N149">
    <cfRule type="expression" dxfId="57" priority="45">
      <formula>AND($B$136="yes",SUM($L$137:$L$141)&gt;0)=TRUE</formula>
    </cfRule>
  </conditionalFormatting>
  <conditionalFormatting sqref="R149">
    <cfRule type="expression" dxfId="56" priority="44">
      <formula>AND($B$136="yes",SUM($L$137:$L$141)&gt;0,H135&lt;J135)=TRUE</formula>
    </cfRule>
  </conditionalFormatting>
  <conditionalFormatting sqref="S149">
    <cfRule type="expression" dxfId="55" priority="43">
      <formula>AND($B$136="yes",SUM($L$137:$L$141)&gt;0,H135&lt;J135)=TRUE</formula>
    </cfRule>
  </conditionalFormatting>
  <conditionalFormatting sqref="B135:O135">
    <cfRule type="expression" dxfId="54" priority="8" stopIfTrue="1">
      <formula>($L$67="")=TRUE</formula>
    </cfRule>
  </conditionalFormatting>
  <conditionalFormatting sqref="B137:O137">
    <cfRule type="expression" dxfId="53" priority="142" stopIfTrue="1">
      <formula>($N$67="")=TRUE</formula>
    </cfRule>
  </conditionalFormatting>
  <conditionalFormatting sqref="B139:O139">
    <cfRule type="expression" dxfId="52" priority="148" stopIfTrue="1">
      <formula>($P$67="")=TRUE</formula>
    </cfRule>
  </conditionalFormatting>
  <conditionalFormatting sqref="B141:O141">
    <cfRule type="expression" dxfId="51" priority="154" stopIfTrue="1">
      <formula>($R$67="")=TRUE</formula>
    </cfRule>
  </conditionalFormatting>
  <conditionalFormatting sqref="I149">
    <cfRule type="expression" dxfId="50" priority="196" stopIfTrue="1">
      <formula>(AND(I149&gt;I144,M144="yes")=TRUE)</formula>
    </cfRule>
  </conditionalFormatting>
  <conditionalFormatting sqref="F58:I58 K58:N58 P58:S58">
    <cfRule type="containsText" dxfId="49" priority="23" operator="containsText" text="optional">
      <formula>NOT(ISERROR(SEARCH("optional",F58)))</formula>
    </cfRule>
    <cfRule type="containsText" dxfId="48" priority="24" operator="containsText" text="required">
      <formula>NOT(ISERROR(SEARCH("required",F58)))</formula>
    </cfRule>
  </conditionalFormatting>
  <conditionalFormatting sqref="P58:S58 K58:N58 F58:I58">
    <cfRule type="containsText" dxfId="47" priority="22" operator="containsText" text="choose">
      <formula>NOT(ISERROR(SEARCH("choose",F58)))</formula>
    </cfRule>
  </conditionalFormatting>
  <conditionalFormatting sqref="Q40 L40 G40 L50 Q50">
    <cfRule type="containsText" dxfId="46" priority="21" operator="containsText" text="change">
      <formula>NOT(ISERROR(SEARCH("change",G40)))</formula>
    </cfRule>
  </conditionalFormatting>
  <conditionalFormatting sqref="Q5:S6 Q14:S14 Q61:S61 Q70:S70 Q130:S130">
    <cfRule type="containsText" dxfId="45" priority="19" operator="containsText" text="Complete">
      <formula>NOT(ISERROR(SEARCH("Complete",Q5)))</formula>
    </cfRule>
  </conditionalFormatting>
  <conditionalFormatting sqref="R123:S123">
    <cfRule type="expression" dxfId="44" priority="16">
      <formula>(L123&gt;0)=TRUE</formula>
    </cfRule>
  </conditionalFormatting>
  <conditionalFormatting sqref="P137:P141">
    <cfRule type="containsText" dxfId="43" priority="15" operator="containsText" text="unallowable">
      <formula>NOT(ISERROR(SEARCH("unallowable",P137)))</formula>
    </cfRule>
  </conditionalFormatting>
  <conditionalFormatting sqref="Q5:S5">
    <cfRule type="containsText" dxfId="42" priority="12" operator="containsText" text="Finish">
      <formula>NOT(ISERROR(SEARCH("Finish",Q5)))</formula>
    </cfRule>
  </conditionalFormatting>
  <conditionalFormatting sqref="H40:I40 M50:N50 R50:S50">
    <cfRule type="expression" dxfId="41" priority="10">
      <formula>(I37="optional")</formula>
    </cfRule>
    <cfRule type="expression" dxfId="40" priority="11">
      <formula>(I37="required")</formula>
    </cfRule>
  </conditionalFormatting>
  <conditionalFormatting sqref="H135:I135">
    <cfRule type="expression" dxfId="39" priority="162">
      <formula>OR(H135&lt;F135,H135&gt;J135)</formula>
    </cfRule>
  </conditionalFormatting>
  <conditionalFormatting sqref="I149:J149">
    <cfRule type="expression" dxfId="38" priority="7">
      <formula>(M144="yes")</formula>
    </cfRule>
  </conditionalFormatting>
  <conditionalFormatting sqref="L64:S64">
    <cfRule type="expression" dxfId="37" priority="6">
      <formula>(SUM($L$66:$R$66)&lt;&gt;0)=TRUE</formula>
    </cfRule>
  </conditionalFormatting>
  <conditionalFormatting sqref="L66:S66">
    <cfRule type="expression" dxfId="36" priority="5">
      <formula>(SUM($L$64:$R$64)&lt;&gt;0)=TRUE</formula>
    </cfRule>
  </conditionalFormatting>
  <conditionalFormatting sqref="L173:M173">
    <cfRule type="expression" dxfId="35" priority="4">
      <formula>D161=0</formula>
    </cfRule>
  </conditionalFormatting>
  <conditionalFormatting sqref="F66:G66">
    <cfRule type="expression" dxfId="34" priority="3">
      <formula>(switch="Yes")</formula>
    </cfRule>
  </conditionalFormatting>
  <conditionalFormatting sqref="F135:K141 G23:G26 L23:L26 Q23:Q26 D159:K159">
    <cfRule type="expression" dxfId="33" priority="2">
      <formula>switch="Yes"</formula>
    </cfRule>
  </conditionalFormatting>
  <conditionalFormatting sqref="J137:K137">
    <cfRule type="containsText" dxfId="32" priority="1" operator="containsText" text="max">
      <formula>NOT(ISERROR(SEARCH("max",J137)))</formula>
    </cfRule>
  </conditionalFormatting>
  <hyperlinks>
    <hyperlink ref="S149" location="ExtGain" display="ExtGain" xr:uid="{00000000-0004-0000-0200-000000000000}"/>
    <hyperlink ref="BA157" location="'Rate Sheet'!B131" display="Back to the rate sheet" xr:uid="{00000000-0004-0000-0200-000001000000}"/>
  </hyperlinks>
  <printOptions horizontalCentered="1"/>
  <pageMargins left="0.5" right="0.5" top="0.5" bottom="0.25" header="0.3" footer="0.3"/>
  <pageSetup scale="69" fitToHeight="0" orientation="portrait" r:id="rId1"/>
  <ignoredErrors>
    <ignoredError sqref="J159 R142 M174 L168:M168 M171 M169 L161:M163 L164:M165"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Control!$B$22:$B$23</xm:f>
          </x14:formula1>
          <xm:sqref>L11</xm:sqref>
        </x14:dataValidation>
        <x14:dataValidation type="list" allowBlank="1" showInputMessage="1" showErrorMessage="1" xr:uid="{00000000-0002-0000-0200-000001000000}">
          <x14:formula1>
            <xm:f>Control!$B$25:$B$26</xm:f>
          </x14:formula1>
          <xm:sqref>R123:S123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2:L55"/>
  <sheetViews>
    <sheetView zoomScaleNormal="100" workbookViewId="0">
      <selection activeCell="J50" sqref="J50"/>
    </sheetView>
  </sheetViews>
  <sheetFormatPr defaultColWidth="9.140625" defaultRowHeight="13.5" customHeight="1" x14ac:dyDescent="0.2"/>
  <cols>
    <col min="1" max="1" width="3.5703125" customWidth="1"/>
    <col min="2" max="2" width="10.7109375" customWidth="1"/>
    <col min="3" max="3" width="15.85546875" customWidth="1"/>
    <col min="4" max="4" width="18.140625" customWidth="1"/>
    <col min="5" max="5" width="3.5703125" customWidth="1"/>
    <col min="6" max="10" width="17.5703125" customWidth="1"/>
  </cols>
  <sheetData>
    <row r="2" spans="2:12" s="350" customFormat="1" ht="13.5" customHeight="1" x14ac:dyDescent="0.2">
      <c r="B2" s="345" t="s">
        <v>32</v>
      </c>
      <c r="C2" s="345"/>
      <c r="D2" s="345"/>
      <c r="E2" s="346"/>
      <c r="F2" s="347" t="str">
        <f>Control!$C$6</f>
        <v>FY24</v>
      </c>
      <c r="G2" s="346" t="str">
        <f>Control!$C$7</f>
        <v>FY23</v>
      </c>
      <c r="H2" s="346" t="str">
        <f>Control!$C$8</f>
        <v>FY22</v>
      </c>
      <c r="I2" s="346" t="str">
        <f>Control!$C$9</f>
        <v>FY21</v>
      </c>
      <c r="J2" s="348" t="str">
        <f>Control!$C$10</f>
        <v>FY20</v>
      </c>
      <c r="K2" s="349"/>
    </row>
    <row r="3" spans="2:12" s="350" customFormat="1" ht="13.5" customHeight="1" x14ac:dyDescent="0.2">
      <c r="B3" s="349" t="s">
        <v>28</v>
      </c>
      <c r="C3" s="349"/>
      <c r="D3" s="349"/>
      <c r="E3" s="351"/>
      <c r="F3" s="352">
        <f>INDEX(Control!$F$9:$R$20,MATCH($B3,Control!$E$9:$E$20,0),MATCH(F$2,Control!$F$7:$R$7,0))</f>
        <v>8.7499999999999994E-2</v>
      </c>
      <c r="G3" s="353">
        <f>INDEX(Control!$F$9:$R$20,MATCH($B3,Control!$E$9:$E$20,0),MATCH(G$2,Control!$F$7:$R$7,0))</f>
        <v>0</v>
      </c>
      <c r="H3" s="353">
        <f>INDEX(Control!$F$9:$R$20,MATCH($B3,Control!$E$9:$E$20,0),MATCH(H$2,Control!$F$7:$R$7,0))</f>
        <v>8.7499999999999994E-2</v>
      </c>
      <c r="I3" s="353">
        <f>INDEX(Control!$F$9:$R$20,MATCH($B3,Control!$E$9:$E$20,0),MATCH(I$2,Control!$F$7:$R$7,0))</f>
        <v>8.7499999999999994E-2</v>
      </c>
      <c r="J3" s="353">
        <f>INDEX(Control!$F$9:$R$20,MATCH($B3,Control!$E$9:$E$20,0),MATCH(J$2,Control!$F$7:$R$7,0))</f>
        <v>8.5000000000000006E-2</v>
      </c>
    </row>
    <row r="4" spans="2:12" s="350" customFormat="1" ht="13.5" customHeight="1" x14ac:dyDescent="0.2">
      <c r="B4" s="349" t="s">
        <v>29</v>
      </c>
      <c r="C4" s="349"/>
      <c r="D4" s="349"/>
      <c r="E4" s="351"/>
      <c r="F4" s="352">
        <f>INDEX(Control!$F$9:$R$20,MATCH($B4,Control!$E$9:$E$20,0),MATCH(F$2,Control!$F$7:$R$7,0))</f>
        <v>0</v>
      </c>
      <c r="G4" s="353">
        <f>INDEX(Control!$F$9:$R$20,MATCH($B4,Control!$E$9:$E$20,0),MATCH(G$2,Control!$F$7:$R$7,0))</f>
        <v>0</v>
      </c>
      <c r="H4" s="353">
        <f>INDEX(Control!$F$9:$R$20,MATCH($B4,Control!$E$9:$E$20,0),MATCH(H$2,Control!$F$7:$R$7,0))</f>
        <v>0</v>
      </c>
      <c r="I4" s="353">
        <f>INDEX(Control!$F$9:$R$20,MATCH($B4,Control!$E$9:$E$20,0),MATCH(I$2,Control!$F$7:$R$7,0))</f>
        <v>0</v>
      </c>
      <c r="J4" s="353">
        <f>INDEX(Control!$F$9:$R$20,MATCH($B4,Control!$E$9:$E$20,0),MATCH(J$2,Control!$F$7:$R$7,0))</f>
        <v>0</v>
      </c>
    </row>
    <row r="5" spans="2:12" s="350" customFormat="1" ht="13.5" customHeight="1" x14ac:dyDescent="0.2">
      <c r="F5" s="354"/>
      <c r="G5" s="355"/>
      <c r="H5" s="355"/>
      <c r="I5" s="355"/>
      <c r="J5" s="355"/>
    </row>
    <row r="6" spans="2:12" s="350" customFormat="1" ht="13.5" customHeight="1" x14ac:dyDescent="0.2">
      <c r="F6" s="354"/>
      <c r="G6" s="355"/>
      <c r="H6" s="355"/>
      <c r="I6" s="355"/>
      <c r="J6" s="355"/>
    </row>
    <row r="7" spans="2:12" s="350" customFormat="1" ht="13.5" customHeight="1" x14ac:dyDescent="0.2">
      <c r="B7" s="356" t="s">
        <v>8</v>
      </c>
      <c r="C7" s="356"/>
      <c r="D7" s="356"/>
      <c r="E7" s="346"/>
      <c r="F7" s="347" t="str">
        <f>Control!$C$6&amp;"*"</f>
        <v>FY24*</v>
      </c>
      <c r="G7" s="346" t="str">
        <f>Control!$C$7</f>
        <v>FY23</v>
      </c>
      <c r="H7" s="346" t="str">
        <f>Control!$C$8</f>
        <v>FY22</v>
      </c>
      <c r="I7" s="346" t="str">
        <f>Control!$C$9</f>
        <v>FY21</v>
      </c>
      <c r="J7" s="348" t="str">
        <f>Control!$C$10</f>
        <v>FY20</v>
      </c>
    </row>
    <row r="8" spans="2:12" s="350" customFormat="1" ht="13.5" customHeight="1" x14ac:dyDescent="0.2">
      <c r="B8" s="350" t="s">
        <v>16</v>
      </c>
      <c r="F8" s="357">
        <f>INDEX(Control!$F$9:$R$20,MATCH($B8,Control!$E$9:$E$20,0),MATCH(F$2,Control!$F$7:$R$7,0))</f>
        <v>0.36599999999999999</v>
      </c>
      <c r="G8" s="358">
        <v>0.32500000000000001</v>
      </c>
      <c r="H8" s="358">
        <f>INDEX(Control!$F$9:$R$20,MATCH($B8,Control!$E$9:$E$20,0),MATCH(H$2,Control!$F$7:$R$7,0))</f>
        <v>0.307</v>
      </c>
      <c r="I8" s="358">
        <f>INDEX(Control!$F$9:$R$20,MATCH($B8,Control!$E$9:$E$20,0),MATCH(I$2,Control!$F$7:$R$7,0))</f>
        <v>0.32500000000000001</v>
      </c>
      <c r="J8" s="358">
        <f>INDEX(Control!$F$9:$R$20,MATCH($B8,Control!$E$9:$E$20,0),MATCH(J$2,Control!$F$7:$R$7,0))</f>
        <v>0.29199999999999998</v>
      </c>
    </row>
    <row r="9" spans="2:12" s="350" customFormat="1" ht="13.5" customHeight="1" x14ac:dyDescent="0.2">
      <c r="B9" s="350" t="s">
        <v>15</v>
      </c>
      <c r="F9" s="357">
        <f>INDEX(Control!$F$9:$R$20,MATCH($B9,Control!$E$9:$E$20,0),MATCH(F$2,Control!$F$7:$R$7,0))</f>
        <v>0.36599999999999999</v>
      </c>
      <c r="G9" s="358">
        <v>0.32500000000000001</v>
      </c>
      <c r="H9" s="358">
        <f>INDEX(Control!$F$9:$R$20,MATCH($B9,Control!$E$9:$E$20,0),MATCH(H$2,Control!$F$7:$R$7,0))</f>
        <v>0.307</v>
      </c>
      <c r="I9" s="358">
        <f>INDEX(Control!$F$9:$R$20,MATCH($B9,Control!$E$9:$E$20,0),MATCH(I$2,Control!$F$7:$R$7,0))</f>
        <v>0.32500000000000001</v>
      </c>
      <c r="J9" s="358">
        <f>INDEX(Control!$F$9:$R$20,MATCH($B9,Control!$E$9:$E$20,0),MATCH(J$2,Control!$F$7:$R$7,0))</f>
        <v>0.29199999999999998</v>
      </c>
      <c r="K9" s="359"/>
      <c r="L9" s="360"/>
    </row>
    <row r="10" spans="2:12" ht="13.5" customHeight="1" x14ac:dyDescent="0.2">
      <c r="B10" s="361" t="s">
        <v>42</v>
      </c>
      <c r="C10" s="361"/>
      <c r="D10" s="361"/>
      <c r="F10" s="357">
        <f>INDEX(Control!$F$9:$R$20,MATCH($B10,Control!$E$9:$E$20,0),MATCH(F$2,Control!$F$7:$R$7,0))</f>
        <v>0.44900000000000001</v>
      </c>
      <c r="G10" s="358">
        <f>INDEX(Control!$F$9:$R$20,MATCH($B10,Control!$E$9:$E$20,0),MATCH(G$2,Control!$F$7:$R$7,0))</f>
        <v>0.41399999999999998</v>
      </c>
      <c r="H10" s="358">
        <f>INDEX(Control!$F$9:$R$20,MATCH($B10,Control!$E$9:$E$20,0),MATCH(H$2,Control!$F$7:$R$7,0))</f>
        <v>0.38500000000000001</v>
      </c>
      <c r="I10" s="358">
        <f>INDEX(Control!$F$9:$R$20,MATCH($B10,Control!$E$9:$E$20,0),MATCH(I$2,Control!$F$7:$R$7,0))</f>
        <v>0.38</v>
      </c>
      <c r="J10" s="358">
        <f>INDEX(Control!$F$9:$R$20,MATCH($B10,Control!$E$9:$E$20,0),MATCH(J$2,Control!$F$7:$R$7,0))</f>
        <v>0.36599999999999999</v>
      </c>
      <c r="K10" s="359"/>
      <c r="L10" s="360"/>
    </row>
    <row r="11" spans="2:12" ht="13.5" customHeight="1" x14ac:dyDescent="0.2">
      <c r="B11" t="s">
        <v>19</v>
      </c>
      <c r="F11" s="357">
        <f>INDEX(Control!$F$9:$R$20,MATCH($B11,Control!$E$9:$E$20,0),MATCH(F$2,Control!$F$7:$R$7,0))</f>
        <v>0.503</v>
      </c>
      <c r="G11" s="358">
        <f>INDEX(Control!$F$9:$R$20,MATCH($B11,Control!$E$9:$E$20,0),MATCH(G$2,Control!$F$7:$R$7,0))</f>
        <v>0.50900000000000001</v>
      </c>
      <c r="H11" s="358">
        <f>INDEX(Control!$F$9:$R$20,MATCH($B11,Control!$E$9:$E$20,0),MATCH(H$2,Control!$F$7:$R$7,0))</f>
        <v>0.46100000000000002</v>
      </c>
      <c r="I11" s="358">
        <f>INDEX(Control!$F$9:$R$20,MATCH($B11,Control!$E$9:$E$20,0),MATCH(I$2,Control!$F$7:$R$7,0))</f>
        <v>0.46700000000000003</v>
      </c>
      <c r="J11" s="358">
        <f>INDEX(Control!$F$9:$R$20,MATCH($B11,Control!$E$9:$E$20,0),MATCH(J$2,Control!$F$7:$R$7,0))</f>
        <v>0.45</v>
      </c>
      <c r="K11" s="359"/>
      <c r="L11" s="360"/>
    </row>
    <row r="12" spans="2:12" ht="13.5" customHeight="1" x14ac:dyDescent="0.2">
      <c r="B12" s="361" t="s">
        <v>41</v>
      </c>
      <c r="C12" s="361"/>
      <c r="D12" s="361"/>
      <c r="F12" s="357">
        <f>INDEX(Control!$F$9:$R$20,MATCH($B12,Control!$E$9:$E$20,0),MATCH(F$2,Control!$F$7:$R$7,0))</f>
        <v>0.24</v>
      </c>
      <c r="G12" s="358">
        <f>INDEX(Control!$F$9:$R$20,MATCH($B12,Control!$E$9:$E$20,0),MATCH(G$2,Control!$F$7:$R$7,0))</f>
        <v>0.224</v>
      </c>
      <c r="H12" s="358">
        <f>INDEX(Control!$F$9:$R$20,MATCH($B12,Control!$E$9:$E$20,0),MATCH(H$2,Control!$F$7:$R$7,0))</f>
        <v>0.20699999999999999</v>
      </c>
      <c r="I12" s="358">
        <f>INDEX(Control!$F$9:$R$20,MATCH($B12,Control!$E$9:$E$20,0),MATCH(I$2,Control!$F$7:$R$7,0))</f>
        <v>0.17100000000000001</v>
      </c>
      <c r="J12" s="358">
        <f>INDEX(Control!$F$9:$R$20,MATCH($B12,Control!$E$9:$E$20,0),MATCH(J$2,Control!$F$7:$R$7,0))</f>
        <v>0.16800000000000001</v>
      </c>
      <c r="K12" s="359"/>
      <c r="L12" s="360"/>
    </row>
    <row r="13" spans="2:12" ht="13.5" customHeight="1" x14ac:dyDescent="0.2">
      <c r="B13" t="s">
        <v>21</v>
      </c>
      <c r="F13" s="357">
        <f>INDEX(Control!$F$9:$R$20,MATCH($B13,Control!$E$9:$E$20,0),MATCH(F$2,Control!$F$7:$R$7,0))</f>
        <v>0.14699999999999999</v>
      </c>
      <c r="G13" s="358">
        <f>INDEX(Control!$F$9:$R$20,MATCH($B13,Control!$E$9:$E$20,0),MATCH(G$2,Control!$F$7:$R$7,0))</f>
        <v>0.214</v>
      </c>
      <c r="H13" s="358">
        <f>INDEX(Control!$F$9:$R$20,MATCH($B13,Control!$E$9:$E$20,0),MATCH(H$2,Control!$F$7:$R$7,0))</f>
        <v>0.219</v>
      </c>
      <c r="I13" s="358">
        <f>INDEX(Control!$F$9:$R$20,MATCH($B13,Control!$E$9:$E$20,0),MATCH(I$2,Control!$F$7:$R$7,0))</f>
        <v>0.22700000000000001</v>
      </c>
      <c r="J13" s="358">
        <f>INDEX(Control!$F$9:$R$20,MATCH($B13,Control!$E$9:$E$20,0),MATCH(J$2,Control!$F$7:$R$7,0))</f>
        <v>0.224</v>
      </c>
      <c r="K13" s="359"/>
      <c r="L13" s="360"/>
    </row>
    <row r="14" spans="2:12" ht="13.5" customHeight="1" x14ac:dyDescent="0.2">
      <c r="B14" t="s">
        <v>17</v>
      </c>
      <c r="F14" s="357">
        <f>INDEX(Control!$F$9:$R$20,MATCH($B14,Control!$E$9:$E$20,0),MATCH(F$2,Control!$F$7:$R$7,0))</f>
        <v>8.0000000000000002E-3</v>
      </c>
      <c r="G14" s="358">
        <f>INDEX(Control!$F$9:$R$20,MATCH($B14,Control!$E$9:$E$20,0),MATCH(G$2,Control!$F$7:$R$7,0))</f>
        <v>3.0000000000000001E-3</v>
      </c>
      <c r="H14" s="358">
        <f>INDEX(Control!$F$9:$R$20,MATCH($B14,Control!$E$9:$E$20,0),MATCH(H$2,Control!$F$7:$R$7,0))</f>
        <v>2E-3</v>
      </c>
      <c r="I14" s="358">
        <f>INDEX(Control!$F$9:$R$20,MATCH($B14,Control!$E$9:$E$20,0),MATCH(I$2,Control!$F$7:$R$7,0))</f>
        <v>3.0000000000000001E-3</v>
      </c>
      <c r="J14" s="358">
        <f>INDEX(Control!$F$9:$R$20,MATCH($B14,Control!$E$9:$E$20,0),MATCH(J$2,Control!$F$7:$R$7,0))</f>
        <v>3.0000000000000001E-3</v>
      </c>
      <c r="K14" s="359"/>
      <c r="L14" s="360"/>
    </row>
    <row r="15" spans="2:12" ht="13.5" customHeight="1" x14ac:dyDescent="0.2">
      <c r="B15" t="s">
        <v>9</v>
      </c>
      <c r="F15" s="357">
        <f>INDEX(Control!$F$9:$R$20,MATCH($B15,Control!$E$9:$E$20,0),MATCH(F$2,Control!$F$7:$R$7,0))</f>
        <v>8.0000000000000002E-3</v>
      </c>
      <c r="G15" s="358">
        <f>INDEX(Control!$F$9:$R$20,MATCH($B15,Control!$E$9:$E$20,0),MATCH(G$2,Control!$F$7:$R$7,0))</f>
        <v>3.0000000000000001E-3</v>
      </c>
      <c r="H15" s="358">
        <f>INDEX(Control!$F$9:$R$20,MATCH($B15,Control!$E$9:$E$20,0),MATCH(H$2,Control!$F$7:$R$7,0))</f>
        <v>2E-3</v>
      </c>
      <c r="I15" s="358">
        <f>INDEX(Control!$F$9:$R$20,MATCH($B15,Control!$E$9:$E$20,0),MATCH(I$2,Control!$F$7:$R$7,0))</f>
        <v>3.0000000000000001E-3</v>
      </c>
      <c r="J15" s="358">
        <f>INDEX(Control!$F$9:$R$20,MATCH($B15,Control!$E$9:$E$20,0),MATCH(J$2,Control!$F$7:$R$7,0))</f>
        <v>3.0000000000000001E-3</v>
      </c>
    </row>
    <row r="16" spans="2:12" ht="13.5" customHeight="1" x14ac:dyDescent="0.2">
      <c r="F16" s="362" t="str">
        <f>"* "&amp;Control!$C$6&amp;" rates are preliminary and subject to change."</f>
        <v>* FY24 rates are preliminary and subject to change.</v>
      </c>
    </row>
    <row r="18" spans="2:10" ht="13.5" customHeight="1" thickBot="1" x14ac:dyDescent="0.25"/>
    <row r="19" spans="2:10" ht="13.5" customHeight="1" x14ac:dyDescent="0.2">
      <c r="B19" s="643" t="s">
        <v>205</v>
      </c>
      <c r="C19" s="644"/>
      <c r="D19" s="644"/>
      <c r="E19" s="644"/>
      <c r="F19" s="644"/>
      <c r="G19" s="644"/>
      <c r="H19" s="644"/>
      <c r="I19" s="644"/>
      <c r="J19" s="645"/>
    </row>
    <row r="20" spans="2:10" ht="13.5" customHeight="1" x14ac:dyDescent="0.2">
      <c r="B20" s="646" t="s">
        <v>206</v>
      </c>
      <c r="C20" s="647"/>
      <c r="D20" s="647"/>
      <c r="E20" s="647"/>
      <c r="F20" s="647"/>
      <c r="G20" s="647"/>
      <c r="H20" s="647"/>
      <c r="I20" s="647"/>
      <c r="J20" s="648"/>
    </row>
    <row r="21" spans="2:10" ht="27" x14ac:dyDescent="0.2">
      <c r="B21" s="363"/>
      <c r="C21" s="364"/>
      <c r="D21" s="364"/>
      <c r="E21" s="364"/>
      <c r="F21" s="365" t="s">
        <v>207</v>
      </c>
      <c r="G21" s="365" t="s">
        <v>208</v>
      </c>
      <c r="H21" s="366" t="s">
        <v>209</v>
      </c>
      <c r="I21" s="366" t="s">
        <v>210</v>
      </c>
      <c r="J21" s="367" t="s">
        <v>211</v>
      </c>
    </row>
    <row r="22" spans="2:10" ht="13.5" customHeight="1" x14ac:dyDescent="0.2">
      <c r="B22" s="368" t="s">
        <v>212</v>
      </c>
      <c r="C22" s="369" t="s">
        <v>213</v>
      </c>
      <c r="D22" s="369" t="s">
        <v>214</v>
      </c>
      <c r="E22" s="369"/>
      <c r="F22" s="370" t="s">
        <v>215</v>
      </c>
      <c r="G22" s="370" t="s">
        <v>216</v>
      </c>
      <c r="H22" s="370" t="s">
        <v>217</v>
      </c>
      <c r="I22" s="370" t="s">
        <v>218</v>
      </c>
      <c r="J22" s="371" t="s">
        <v>219</v>
      </c>
    </row>
    <row r="23" spans="2:10" ht="4.5" customHeight="1" x14ac:dyDescent="0.2">
      <c r="B23" s="372"/>
      <c r="C23" s="181"/>
      <c r="D23" s="181"/>
      <c r="E23" s="181"/>
      <c r="F23" s="373"/>
      <c r="G23" s="373"/>
      <c r="H23" s="373"/>
      <c r="I23" s="373"/>
      <c r="J23" s="374"/>
    </row>
    <row r="24" spans="2:10" ht="13.5" customHeight="1" x14ac:dyDescent="0.2">
      <c r="B24" s="375" t="s">
        <v>220</v>
      </c>
      <c r="C24" s="376" t="s">
        <v>221</v>
      </c>
      <c r="D24" s="376" t="s">
        <v>222</v>
      </c>
      <c r="E24" s="376"/>
      <c r="F24" s="377" t="s">
        <v>123</v>
      </c>
      <c r="G24" s="377" t="s">
        <v>123</v>
      </c>
      <c r="H24" s="377" t="s">
        <v>123</v>
      </c>
      <c r="I24" s="377" t="s">
        <v>123</v>
      </c>
      <c r="J24" s="378" t="s">
        <v>122</v>
      </c>
    </row>
    <row r="25" spans="2:10" ht="13.5" customHeight="1" x14ac:dyDescent="0.2">
      <c r="B25" s="375"/>
      <c r="C25" s="379" t="s">
        <v>221</v>
      </c>
      <c r="D25" s="379" t="s">
        <v>223</v>
      </c>
      <c r="E25" s="379"/>
      <c r="F25" s="380" t="s">
        <v>123</v>
      </c>
      <c r="G25" s="380" t="s">
        <v>123</v>
      </c>
      <c r="H25" s="380" t="s">
        <v>123</v>
      </c>
      <c r="I25" s="380" t="s">
        <v>123</v>
      </c>
      <c r="J25" s="381" t="s">
        <v>123</v>
      </c>
    </row>
    <row r="26" spans="2:10" ht="13.5" customHeight="1" x14ac:dyDescent="0.2">
      <c r="B26" s="372"/>
      <c r="C26" s="181"/>
      <c r="D26" s="181"/>
      <c r="E26" s="181"/>
      <c r="F26" s="373"/>
      <c r="G26" s="373"/>
      <c r="H26" s="373"/>
      <c r="I26" s="373"/>
      <c r="J26" s="374"/>
    </row>
    <row r="27" spans="2:10" ht="13.5" customHeight="1" x14ac:dyDescent="0.2">
      <c r="B27" s="382" t="s">
        <v>224</v>
      </c>
      <c r="C27" s="376" t="s">
        <v>225</v>
      </c>
      <c r="D27" s="376" t="s">
        <v>222</v>
      </c>
      <c r="E27" s="376"/>
      <c r="F27" s="377" t="s">
        <v>123</v>
      </c>
      <c r="G27" s="383" t="s">
        <v>122</v>
      </c>
      <c r="H27" s="377" t="s">
        <v>123</v>
      </c>
      <c r="I27" s="377" t="s">
        <v>123</v>
      </c>
      <c r="J27" s="384" t="s">
        <v>123</v>
      </c>
    </row>
    <row r="28" spans="2:10" ht="13.5" customHeight="1" x14ac:dyDescent="0.2">
      <c r="B28" s="372"/>
      <c r="C28" s="379" t="s">
        <v>225</v>
      </c>
      <c r="D28" s="379" t="s">
        <v>223</v>
      </c>
      <c r="E28" s="379"/>
      <c r="F28" s="380" t="s">
        <v>123</v>
      </c>
      <c r="G28" s="385" t="s">
        <v>122</v>
      </c>
      <c r="H28" s="380" t="s">
        <v>123</v>
      </c>
      <c r="I28" s="380" t="s">
        <v>123</v>
      </c>
      <c r="J28" s="381" t="s">
        <v>123</v>
      </c>
    </row>
    <row r="29" spans="2:10" ht="13.5" customHeight="1" x14ac:dyDescent="0.2">
      <c r="B29" s="372"/>
      <c r="C29" s="376" t="s">
        <v>226</v>
      </c>
      <c r="D29" s="376" t="s">
        <v>222</v>
      </c>
      <c r="E29" s="376"/>
      <c r="F29" s="377" t="s">
        <v>123</v>
      </c>
      <c r="G29" s="377" t="s">
        <v>123</v>
      </c>
      <c r="H29" s="377" t="s">
        <v>123</v>
      </c>
      <c r="I29" s="383" t="s">
        <v>122</v>
      </c>
      <c r="J29" s="384" t="s">
        <v>123</v>
      </c>
    </row>
    <row r="30" spans="2:10" ht="13.5" customHeight="1" x14ac:dyDescent="0.2">
      <c r="B30" s="372"/>
      <c r="C30" s="379" t="s">
        <v>226</v>
      </c>
      <c r="D30" s="379" t="s">
        <v>223</v>
      </c>
      <c r="E30" s="379"/>
      <c r="F30" s="380" t="s">
        <v>123</v>
      </c>
      <c r="G30" s="380" t="s">
        <v>123</v>
      </c>
      <c r="H30" s="385" t="s">
        <v>227</v>
      </c>
      <c r="I30" s="385" t="s">
        <v>122</v>
      </c>
      <c r="J30" s="381" t="s">
        <v>123</v>
      </c>
    </row>
    <row r="31" spans="2:10" ht="13.5" customHeight="1" x14ac:dyDescent="0.2">
      <c r="B31" s="372"/>
      <c r="C31" s="376" t="s">
        <v>228</v>
      </c>
      <c r="D31" s="376" t="s">
        <v>222</v>
      </c>
      <c r="E31" s="376"/>
      <c r="F31" s="377" t="s">
        <v>123</v>
      </c>
      <c r="G31" s="377" t="s">
        <v>123</v>
      </c>
      <c r="H31" s="377" t="s">
        <v>123</v>
      </c>
      <c r="I31" s="377" t="s">
        <v>123</v>
      </c>
      <c r="J31" s="378" t="s">
        <v>122</v>
      </c>
    </row>
    <row r="32" spans="2:10" ht="13.5" customHeight="1" x14ac:dyDescent="0.2">
      <c r="B32" s="386"/>
      <c r="C32" s="379" t="s">
        <v>228</v>
      </c>
      <c r="D32" s="379" t="s">
        <v>223</v>
      </c>
      <c r="E32" s="379"/>
      <c r="F32" s="385" t="s">
        <v>122</v>
      </c>
      <c r="G32" s="380" t="s">
        <v>123</v>
      </c>
      <c r="H32" s="385" t="s">
        <v>122</v>
      </c>
      <c r="I32" s="380" t="s">
        <v>123</v>
      </c>
      <c r="J32" s="381" t="s">
        <v>123</v>
      </c>
    </row>
    <row r="33" spans="2:10" ht="13.5" customHeight="1" x14ac:dyDescent="0.2">
      <c r="B33" s="372"/>
      <c r="C33" s="181"/>
      <c r="D33" s="181"/>
      <c r="E33" s="181"/>
      <c r="F33" s="373"/>
      <c r="G33" s="373"/>
      <c r="H33" s="373"/>
      <c r="I33" s="373"/>
      <c r="J33" s="374"/>
    </row>
    <row r="34" spans="2:10" ht="13.5" customHeight="1" x14ac:dyDescent="0.2">
      <c r="B34" s="375" t="s">
        <v>229</v>
      </c>
      <c r="C34" s="376" t="s">
        <v>221</v>
      </c>
      <c r="D34" s="376" t="s">
        <v>222</v>
      </c>
      <c r="E34" s="376"/>
      <c r="F34" s="377" t="s">
        <v>123</v>
      </c>
      <c r="G34" s="377" t="s">
        <v>123</v>
      </c>
      <c r="H34" s="377" t="s">
        <v>123</v>
      </c>
      <c r="I34" s="377" t="s">
        <v>123</v>
      </c>
      <c r="J34" s="384" t="s">
        <v>123</v>
      </c>
    </row>
    <row r="35" spans="2:10" ht="13.5" customHeight="1" x14ac:dyDescent="0.2">
      <c r="B35" s="375"/>
      <c r="C35" s="379" t="s">
        <v>221</v>
      </c>
      <c r="D35" s="379" t="s">
        <v>223</v>
      </c>
      <c r="E35" s="379"/>
      <c r="F35" s="380" t="s">
        <v>123</v>
      </c>
      <c r="G35" s="380" t="s">
        <v>123</v>
      </c>
      <c r="H35" s="385" t="s">
        <v>230</v>
      </c>
      <c r="I35" s="380" t="s">
        <v>123</v>
      </c>
      <c r="J35" s="381" t="s">
        <v>123</v>
      </c>
    </row>
    <row r="36" spans="2:10" ht="13.5" customHeight="1" x14ac:dyDescent="0.2">
      <c r="B36" s="372" t="s">
        <v>231</v>
      </c>
      <c r="C36" s="181"/>
      <c r="D36" s="181"/>
      <c r="E36" s="181"/>
      <c r="F36" s="373"/>
      <c r="G36" s="373"/>
      <c r="H36" s="373"/>
      <c r="I36" s="373"/>
      <c r="J36" s="374"/>
    </row>
    <row r="37" spans="2:10" ht="13.5" customHeight="1" x14ac:dyDescent="0.2">
      <c r="B37" s="372"/>
      <c r="C37" s="181"/>
      <c r="D37" s="181"/>
      <c r="E37" s="181"/>
      <c r="F37" s="373"/>
      <c r="G37" s="373"/>
      <c r="H37" s="373"/>
      <c r="I37" s="373"/>
      <c r="J37" s="374"/>
    </row>
    <row r="38" spans="2:10" ht="13.5" customHeight="1" x14ac:dyDescent="0.2">
      <c r="B38" s="375" t="s">
        <v>232</v>
      </c>
      <c r="C38" s="376" t="s">
        <v>226</v>
      </c>
      <c r="D38" s="376" t="s">
        <v>222</v>
      </c>
      <c r="E38" s="376"/>
      <c r="F38" s="377" t="s">
        <v>123</v>
      </c>
      <c r="G38" s="377" t="s">
        <v>123</v>
      </c>
      <c r="H38" s="377" t="s">
        <v>123</v>
      </c>
      <c r="I38" s="383" t="s">
        <v>122</v>
      </c>
      <c r="J38" s="384" t="s">
        <v>123</v>
      </c>
    </row>
    <row r="39" spans="2:10" ht="13.5" customHeight="1" x14ac:dyDescent="0.2">
      <c r="B39" s="375"/>
      <c r="C39" s="379" t="s">
        <v>226</v>
      </c>
      <c r="D39" s="379" t="s">
        <v>223</v>
      </c>
      <c r="E39" s="379"/>
      <c r="F39" s="380" t="s">
        <v>123</v>
      </c>
      <c r="G39" s="380" t="s">
        <v>123</v>
      </c>
      <c r="H39" s="385" t="s">
        <v>227</v>
      </c>
      <c r="I39" s="385" t="s">
        <v>122</v>
      </c>
      <c r="J39" s="381" t="s">
        <v>123</v>
      </c>
    </row>
    <row r="40" spans="2:10" ht="13.5" customHeight="1" x14ac:dyDescent="0.2">
      <c r="B40" s="372"/>
      <c r="C40" s="181"/>
      <c r="D40" s="181"/>
      <c r="E40" s="181"/>
      <c r="F40" s="373"/>
      <c r="G40" s="373"/>
      <c r="H40" s="373"/>
      <c r="I40" s="373"/>
      <c r="J40" s="374"/>
    </row>
    <row r="41" spans="2:10" ht="13.5" customHeight="1" x14ac:dyDescent="0.2">
      <c r="B41" s="382" t="s">
        <v>233</v>
      </c>
      <c r="C41" s="376" t="s">
        <v>234</v>
      </c>
      <c r="D41" s="376" t="s">
        <v>222</v>
      </c>
      <c r="E41" s="376"/>
      <c r="F41" s="377" t="s">
        <v>123</v>
      </c>
      <c r="G41" s="377" t="s">
        <v>123</v>
      </c>
      <c r="H41" s="377" t="s">
        <v>123</v>
      </c>
      <c r="I41" s="377" t="s">
        <v>123</v>
      </c>
      <c r="J41" s="378" t="s">
        <v>122</v>
      </c>
    </row>
    <row r="42" spans="2:10" ht="13.5" customHeight="1" x14ac:dyDescent="0.2">
      <c r="B42" s="372"/>
      <c r="C42" s="379" t="s">
        <v>234</v>
      </c>
      <c r="D42" s="379" t="s">
        <v>223</v>
      </c>
      <c r="E42" s="379"/>
      <c r="F42" s="385" t="s">
        <v>122</v>
      </c>
      <c r="G42" s="380" t="s">
        <v>123</v>
      </c>
      <c r="H42" s="385" t="s">
        <v>122</v>
      </c>
      <c r="I42" s="380" t="s">
        <v>123</v>
      </c>
      <c r="J42" s="381" t="s">
        <v>123</v>
      </c>
    </row>
    <row r="43" spans="2:10" ht="13.5" customHeight="1" x14ac:dyDescent="0.2">
      <c r="B43" s="372"/>
      <c r="C43" s="376" t="s">
        <v>228</v>
      </c>
      <c r="D43" s="376" t="s">
        <v>222</v>
      </c>
      <c r="E43" s="376"/>
      <c r="F43" s="377" t="s">
        <v>123</v>
      </c>
      <c r="G43" s="377" t="s">
        <v>123</v>
      </c>
      <c r="H43" s="377" t="s">
        <v>123</v>
      </c>
      <c r="I43" s="377" t="s">
        <v>123</v>
      </c>
      <c r="J43" s="378" t="s">
        <v>122</v>
      </c>
    </row>
    <row r="44" spans="2:10" ht="13.5" customHeight="1" thickBot="1" x14ac:dyDescent="0.25">
      <c r="B44" s="387"/>
      <c r="C44" s="388" t="s">
        <v>228</v>
      </c>
      <c r="D44" s="388" t="s">
        <v>223</v>
      </c>
      <c r="E44" s="388"/>
      <c r="F44" s="389" t="s">
        <v>123</v>
      </c>
      <c r="G44" s="389" t="s">
        <v>123</v>
      </c>
      <c r="H44" s="390" t="s">
        <v>122</v>
      </c>
      <c r="I44" s="389" t="s">
        <v>123</v>
      </c>
      <c r="J44" s="391" t="s">
        <v>123</v>
      </c>
    </row>
    <row r="45" spans="2:10" ht="4.5" customHeight="1" x14ac:dyDescent="0.2">
      <c r="B45" s="181"/>
      <c r="C45" s="181"/>
      <c r="D45" s="181"/>
      <c r="E45" s="181"/>
      <c r="F45" s="181"/>
      <c r="G45" s="181"/>
      <c r="H45" s="181"/>
      <c r="I45" s="181"/>
      <c r="J45" s="181"/>
    </row>
    <row r="46" spans="2:10" ht="13.5" customHeight="1" x14ac:dyDescent="0.2">
      <c r="B46" s="649" t="s">
        <v>235</v>
      </c>
      <c r="C46" s="649"/>
      <c r="D46" s="649"/>
      <c r="E46" s="649"/>
      <c r="F46" s="649"/>
      <c r="G46" s="649"/>
      <c r="H46" s="649"/>
      <c r="I46" s="649"/>
      <c r="J46" s="649"/>
    </row>
    <row r="47" spans="2:10" ht="13.5" customHeight="1" x14ac:dyDescent="0.2">
      <c r="B47" s="649"/>
      <c r="C47" s="649"/>
      <c r="D47" s="649"/>
      <c r="E47" s="649"/>
      <c r="F47" s="649"/>
      <c r="G47" s="649"/>
      <c r="H47" s="649"/>
      <c r="I47" s="649"/>
      <c r="J47" s="649"/>
    </row>
    <row r="48" spans="2:10" ht="4.1500000000000004" customHeight="1" x14ac:dyDescent="0.2">
      <c r="B48" s="181"/>
      <c r="C48" s="181"/>
      <c r="D48" s="181"/>
      <c r="E48" s="181"/>
      <c r="F48" s="181"/>
      <c r="G48" s="181"/>
      <c r="H48" s="181"/>
      <c r="I48" s="181"/>
      <c r="J48" s="181"/>
    </row>
    <row r="49" spans="2:10" ht="13.5" customHeight="1" x14ac:dyDescent="0.2">
      <c r="B49" s="392" t="s">
        <v>327</v>
      </c>
      <c r="C49" s="181"/>
      <c r="D49" s="181"/>
      <c r="E49" s="181"/>
      <c r="F49" s="181"/>
      <c r="G49" s="181"/>
      <c r="H49" s="181"/>
      <c r="I49" s="181"/>
      <c r="J49" s="181"/>
    </row>
    <row r="50" spans="2:10" ht="13.5" customHeight="1" x14ac:dyDescent="0.2">
      <c r="B50" s="393"/>
      <c r="C50" s="181"/>
      <c r="D50" s="181"/>
      <c r="E50" s="181"/>
      <c r="F50" s="181"/>
      <c r="G50" s="181"/>
      <c r="H50" s="181"/>
      <c r="I50" s="181"/>
      <c r="J50" s="181"/>
    </row>
    <row r="51" spans="2:10" ht="13.5" customHeight="1" x14ac:dyDescent="0.2">
      <c r="B51" s="392"/>
      <c r="C51" s="181"/>
      <c r="D51" s="181"/>
      <c r="E51" s="181"/>
      <c r="F51" s="181"/>
      <c r="G51" s="181"/>
      <c r="H51" s="181"/>
      <c r="I51" s="181"/>
      <c r="J51" s="181"/>
    </row>
    <row r="52" spans="2:10" ht="4.1500000000000004" customHeight="1" x14ac:dyDescent="0.2"/>
    <row r="53" spans="2:10" ht="13.5" customHeight="1" x14ac:dyDescent="0.2">
      <c r="B53" s="392"/>
    </row>
    <row r="54" spans="2:10" ht="13.5" customHeight="1" x14ac:dyDescent="0.2">
      <c r="B54" s="393"/>
    </row>
    <row r="55" spans="2:10" ht="13.5" customHeight="1" x14ac:dyDescent="0.2">
      <c r="B55" s="393"/>
    </row>
  </sheetData>
  <sheetProtection algorithmName="SHA-512" hashValue="RFxNuSPmrWD0NXa88phuug7FmMRK9/fqmWCW1ak7PyAQnTuA/a8KkC/V3Yc5K0SqQnrXcyEG/eRjORQdGBVe3w==" saltValue="oDbCgrpQn4x2YPAbg4L9ng==" spinCount="100000" sheet="1" objects="1" scenarios="1"/>
  <mergeCells count="3">
    <mergeCell ref="B19:J19"/>
    <mergeCell ref="B20:J20"/>
    <mergeCell ref="B46:J47"/>
  </mergeCells>
  <pageMargins left="0.7" right="0.7" top="0.75" bottom="0.75" header="0.3" footer="0.3"/>
  <pageSetup scale="6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7"/>
  <sheetViews>
    <sheetView workbookViewId="0">
      <selection activeCell="G33" sqref="G33"/>
    </sheetView>
  </sheetViews>
  <sheetFormatPr defaultColWidth="9.140625" defaultRowHeight="15" x14ac:dyDescent="0.25"/>
  <cols>
    <col min="1" max="1" width="18.140625" style="413" customWidth="1"/>
    <col min="2" max="2" width="17.85546875" style="413" customWidth="1"/>
    <col min="3" max="3" width="19.140625" style="413" customWidth="1"/>
    <col min="4" max="4" width="16.42578125" style="413" customWidth="1"/>
    <col min="5" max="5" width="15.7109375" style="413" customWidth="1"/>
    <col min="6" max="6" width="16.42578125" style="413" customWidth="1"/>
    <col min="7" max="16384" width="9.140625" style="413"/>
  </cols>
  <sheetData>
    <row r="1" spans="1:11" ht="18.75" x14ac:dyDescent="0.3">
      <c r="A1" s="412" t="s">
        <v>245</v>
      </c>
    </row>
    <row r="2" spans="1:11" x14ac:dyDescent="0.25">
      <c r="A2" s="413" t="s">
        <v>246</v>
      </c>
    </row>
    <row r="3" spans="1:11" x14ac:dyDescent="0.25">
      <c r="A3" s="414" t="s">
        <v>247</v>
      </c>
    </row>
    <row r="4" spans="1:11" x14ac:dyDescent="0.25">
      <c r="A4" s="415" t="s">
        <v>248</v>
      </c>
    </row>
    <row r="5" spans="1:11" x14ac:dyDescent="0.25">
      <c r="B5" s="416" t="s">
        <v>249</v>
      </c>
    </row>
    <row r="7" spans="1:11" x14ac:dyDescent="0.25">
      <c r="A7" s="417" t="s">
        <v>250</v>
      </c>
      <c r="B7" s="417"/>
      <c r="C7" s="417"/>
      <c r="D7" s="417"/>
      <c r="E7" s="417"/>
      <c r="F7" s="417"/>
      <c r="G7" s="417"/>
      <c r="H7" s="417"/>
      <c r="I7" s="417"/>
      <c r="J7" s="417"/>
      <c r="K7" s="417"/>
    </row>
    <row r="8" spans="1:11" ht="15.75" thickBot="1" x14ac:dyDescent="0.3">
      <c r="B8" s="418" t="s">
        <v>251</v>
      </c>
      <c r="C8" s="418" t="s">
        <v>252</v>
      </c>
    </row>
    <row r="9" spans="1:11" x14ac:dyDescent="0.25">
      <c r="A9" s="419" t="s">
        <v>253</v>
      </c>
    </row>
    <row r="11" spans="1:11" x14ac:dyDescent="0.25">
      <c r="A11" s="417" t="s">
        <v>254</v>
      </c>
      <c r="B11" s="417"/>
      <c r="C11" s="417"/>
      <c r="D11" s="417"/>
      <c r="E11" s="417"/>
      <c r="F11" s="417"/>
      <c r="G11" s="417"/>
      <c r="H11" s="417"/>
      <c r="I11" s="417"/>
      <c r="J11" s="417"/>
      <c r="K11" s="417"/>
    </row>
    <row r="12" spans="1:11" ht="15.75" thickBot="1" x14ac:dyDescent="0.3">
      <c r="B12" s="418" t="s">
        <v>102</v>
      </c>
      <c r="C12" s="418" t="s">
        <v>255</v>
      </c>
      <c r="D12" s="418" t="s">
        <v>256</v>
      </c>
      <c r="E12" s="418" t="s">
        <v>257</v>
      </c>
      <c r="F12" s="418" t="s">
        <v>97</v>
      </c>
    </row>
    <row r="13" spans="1:11" x14ac:dyDescent="0.25">
      <c r="A13" s="419" t="s">
        <v>253</v>
      </c>
      <c r="B13" s="420"/>
      <c r="C13" s="420"/>
      <c r="D13" s="420"/>
      <c r="E13" s="420"/>
      <c r="F13" s="421">
        <f>SUM(B13:E13)</f>
        <v>0</v>
      </c>
    </row>
    <row r="15" spans="1:11" x14ac:dyDescent="0.25">
      <c r="A15" s="444" t="s">
        <v>305</v>
      </c>
      <c r="B15" s="417"/>
      <c r="C15" s="417"/>
      <c r="D15" s="417"/>
      <c r="E15" s="417"/>
      <c r="F15" s="417"/>
      <c r="G15" s="417"/>
      <c r="H15" s="417"/>
      <c r="I15" s="417"/>
      <c r="J15" s="417"/>
      <c r="K15" s="417"/>
    </row>
    <row r="16" spans="1:11" ht="15.75" thickBot="1" x14ac:dyDescent="0.3">
      <c r="B16" s="418" t="s">
        <v>102</v>
      </c>
      <c r="C16" s="418" t="s">
        <v>255</v>
      </c>
      <c r="D16" s="418" t="s">
        <v>256</v>
      </c>
      <c r="E16" s="418" t="s">
        <v>257</v>
      </c>
    </row>
    <row r="17" spans="1:1" x14ac:dyDescent="0.25">
      <c r="A17" s="419" t="s">
        <v>253</v>
      </c>
    </row>
  </sheetData>
  <sheetProtection algorithmName="SHA-512" hashValue="80jD9X3w83QvaqRSp9sI2x3Xu6326UcCivDwpgpRl2asFRwtmA21MS4rY1IQ7qiNWIxkMU0PYaf3b19WDD70Yw==" saltValue="7hvMu2LyxvFpWN+N0/q8s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9"/>
  <sheetViews>
    <sheetView workbookViewId="0">
      <selection activeCell="G33" sqref="G33"/>
    </sheetView>
  </sheetViews>
  <sheetFormatPr defaultColWidth="9.140625" defaultRowHeight="15" x14ac:dyDescent="0.25"/>
  <cols>
    <col min="1" max="1" width="17.42578125" style="413" customWidth="1"/>
    <col min="2" max="2" width="16" style="413" bestFit="1" customWidth="1"/>
    <col min="3" max="3" width="13.140625" style="413" bestFit="1" customWidth="1"/>
    <col min="4" max="4" width="14.85546875" style="413" customWidth="1"/>
    <col min="5" max="5" width="12" style="413" customWidth="1"/>
    <col min="6" max="6" width="13.140625" style="413" bestFit="1" customWidth="1"/>
    <col min="7" max="7" width="12.85546875" style="413" bestFit="1" customWidth="1"/>
    <col min="8" max="8" width="4.42578125" style="413" customWidth="1"/>
    <col min="9" max="16384" width="9.140625" style="413"/>
  </cols>
  <sheetData>
    <row r="1" spans="1:9" ht="18.75" x14ac:dyDescent="0.3">
      <c r="A1" s="412" t="str">
        <f>[1]Sales!A1</f>
        <v>RBSA Worksheet--Lab/Title</v>
      </c>
    </row>
    <row r="2" spans="1:9" x14ac:dyDescent="0.25">
      <c r="A2" s="413" t="str">
        <f>[1]Sales!A2</f>
        <v>Manager</v>
      </c>
    </row>
    <row r="3" spans="1:9" x14ac:dyDescent="0.25">
      <c r="A3" s="414" t="str">
        <f>[1]Sales!A3</f>
        <v>Speedtype</v>
      </c>
    </row>
    <row r="4" spans="1:9" ht="18.75" x14ac:dyDescent="0.3">
      <c r="A4" s="412"/>
    </row>
    <row r="5" spans="1:9" ht="15.75" x14ac:dyDescent="0.25">
      <c r="A5" s="422" t="s">
        <v>258</v>
      </c>
    </row>
    <row r="6" spans="1:9" x14ac:dyDescent="0.25">
      <c r="A6" s="423" t="s">
        <v>259</v>
      </c>
      <c r="B6" s="417"/>
      <c r="C6" s="417"/>
      <c r="D6" s="417"/>
      <c r="E6" s="417"/>
      <c r="F6" s="417"/>
      <c r="G6" s="417"/>
      <c r="H6" s="417"/>
      <c r="I6" s="417"/>
    </row>
    <row r="7" spans="1:9" ht="15.75" thickBot="1" x14ac:dyDescent="0.3">
      <c r="A7" s="424" t="s">
        <v>2</v>
      </c>
      <c r="B7" s="425" t="s">
        <v>260</v>
      </c>
      <c r="C7" s="425" t="s">
        <v>261</v>
      </c>
      <c r="D7" s="425" t="s">
        <v>262</v>
      </c>
      <c r="E7" s="425" t="s">
        <v>263</v>
      </c>
      <c r="F7" s="425" t="s">
        <v>264</v>
      </c>
      <c r="G7" s="425" t="s">
        <v>265</v>
      </c>
      <c r="H7" s="426"/>
      <c r="I7" s="426"/>
    </row>
    <row r="8" spans="1:9" x14ac:dyDescent="0.25">
      <c r="A8" s="413" t="s">
        <v>266</v>
      </c>
      <c r="E8" s="427"/>
      <c r="F8" s="428"/>
      <c r="G8" s="429" t="e">
        <f>F8/D8*E8</f>
        <v>#DIV/0!</v>
      </c>
      <c r="H8" s="417"/>
      <c r="I8" s="417"/>
    </row>
    <row r="9" spans="1:9" x14ac:dyDescent="0.25">
      <c r="A9" s="413" t="s">
        <v>267</v>
      </c>
      <c r="D9" s="415"/>
      <c r="E9" s="427"/>
      <c r="G9" s="429" t="e">
        <f>F9/D9*E9</f>
        <v>#DIV/0!</v>
      </c>
      <c r="H9" s="417"/>
      <c r="I9" s="417"/>
    </row>
    <row r="10" spans="1:9" x14ac:dyDescent="0.25">
      <c r="A10" s="413" t="s">
        <v>268</v>
      </c>
      <c r="D10" s="415"/>
      <c r="E10" s="427"/>
      <c r="G10" s="429" t="e">
        <f>F10/D10*E10</f>
        <v>#DIV/0!</v>
      </c>
      <c r="H10" s="417"/>
      <c r="I10" s="417"/>
    </row>
    <row r="11" spans="1:9" x14ac:dyDescent="0.25">
      <c r="A11" s="413" t="s">
        <v>269</v>
      </c>
      <c r="D11" s="415"/>
      <c r="E11" s="427"/>
      <c r="G11" s="429" t="e">
        <f t="shared" ref="G11:G12" si="0">F11/D11*E11</f>
        <v>#DIV/0!</v>
      </c>
      <c r="H11" s="417"/>
      <c r="I11" s="417"/>
    </row>
    <row r="12" spans="1:9" x14ac:dyDescent="0.25">
      <c r="A12" s="413" t="s">
        <v>270</v>
      </c>
      <c r="D12" s="415"/>
      <c r="E12" s="427"/>
      <c r="G12" s="429" t="e">
        <f t="shared" si="0"/>
        <v>#DIV/0!</v>
      </c>
      <c r="H12" s="417"/>
      <c r="I12" s="417"/>
    </row>
    <row r="13" spans="1:9" x14ac:dyDescent="0.25">
      <c r="E13" s="416" t="s">
        <v>271</v>
      </c>
      <c r="F13" s="430">
        <f>SUM(F8:F12)</f>
        <v>0</v>
      </c>
      <c r="H13" s="417"/>
      <c r="I13" s="417"/>
    </row>
    <row r="14" spans="1:9" x14ac:dyDescent="0.25">
      <c r="E14" s="416"/>
      <c r="F14" s="431"/>
      <c r="H14" s="417"/>
      <c r="I14" s="417"/>
    </row>
    <row r="15" spans="1:9" x14ac:dyDescent="0.25">
      <c r="A15" s="423" t="s">
        <v>272</v>
      </c>
      <c r="B15" s="417"/>
      <c r="C15" s="417"/>
      <c r="D15" s="417"/>
      <c r="E15" s="417"/>
      <c r="F15" s="417"/>
      <c r="G15" s="417"/>
      <c r="H15" s="417"/>
      <c r="I15" s="417"/>
    </row>
    <row r="16" spans="1:9" s="429" customFormat="1" ht="15.75" thickBot="1" x14ac:dyDescent="0.3">
      <c r="B16" s="425" t="s">
        <v>273</v>
      </c>
      <c r="C16" s="425" t="s">
        <v>274</v>
      </c>
      <c r="D16" s="425" t="s">
        <v>97</v>
      </c>
      <c r="E16" s="416"/>
      <c r="H16" s="426"/>
      <c r="I16" s="426"/>
    </row>
    <row r="17" spans="1:9" x14ac:dyDescent="0.25">
      <c r="A17" s="419" t="s">
        <v>275</v>
      </c>
      <c r="B17" s="428"/>
      <c r="D17" s="428">
        <f>B17*C17</f>
        <v>0</v>
      </c>
      <c r="E17" s="428"/>
      <c r="H17" s="417"/>
      <c r="I17" s="417"/>
    </row>
    <row r="18" spans="1:9" x14ac:dyDescent="0.25">
      <c r="A18" s="419" t="s">
        <v>276</v>
      </c>
      <c r="B18" s="428"/>
      <c r="D18" s="428">
        <f t="shared" ref="D18:D21" si="1">B18*C18</f>
        <v>0</v>
      </c>
      <c r="E18" s="428"/>
      <c r="H18" s="417"/>
      <c r="I18" s="417"/>
    </row>
    <row r="19" spans="1:9" x14ac:dyDescent="0.25">
      <c r="A19" s="419" t="s">
        <v>277</v>
      </c>
      <c r="B19" s="428"/>
      <c r="D19" s="428">
        <f t="shared" si="1"/>
        <v>0</v>
      </c>
      <c r="E19" s="428"/>
      <c r="H19" s="417"/>
      <c r="I19" s="417"/>
    </row>
    <row r="20" spans="1:9" x14ac:dyDescent="0.25">
      <c r="A20" s="419" t="s">
        <v>278</v>
      </c>
      <c r="B20" s="428"/>
      <c r="D20" s="428">
        <f t="shared" si="1"/>
        <v>0</v>
      </c>
      <c r="E20" s="428"/>
      <c r="H20" s="417"/>
      <c r="I20" s="417"/>
    </row>
    <row r="21" spans="1:9" x14ac:dyDescent="0.25">
      <c r="A21" s="419" t="s">
        <v>279</v>
      </c>
      <c r="B21" s="428"/>
      <c r="D21" s="428">
        <f t="shared" si="1"/>
        <v>0</v>
      </c>
      <c r="E21" s="428"/>
      <c r="H21" s="417"/>
      <c r="I21" s="417"/>
    </row>
    <row r="22" spans="1:9" x14ac:dyDescent="0.25">
      <c r="A22" s="419"/>
      <c r="B22" s="428"/>
      <c r="C22" s="416" t="s">
        <v>280</v>
      </c>
      <c r="D22" s="430">
        <f>SUM(D18:D21)</f>
        <v>0</v>
      </c>
      <c r="E22" s="428"/>
      <c r="H22" s="417"/>
      <c r="I22" s="417"/>
    </row>
    <row r="23" spans="1:9" x14ac:dyDescent="0.25">
      <c r="A23" s="419"/>
      <c r="B23" s="428"/>
      <c r="C23" s="416"/>
      <c r="D23" s="428"/>
      <c r="E23" s="428"/>
      <c r="H23" s="417"/>
      <c r="I23" s="417"/>
    </row>
    <row r="24" spans="1:9" ht="15.75" thickBot="1" x14ac:dyDescent="0.3">
      <c r="B24" s="425" t="s">
        <v>281</v>
      </c>
      <c r="C24" s="425" t="s">
        <v>282</v>
      </c>
      <c r="D24" s="425" t="s">
        <v>97</v>
      </c>
      <c r="H24" s="432"/>
      <c r="I24" s="432"/>
    </row>
    <row r="25" spans="1:9" x14ac:dyDescent="0.25">
      <c r="A25" s="419" t="s">
        <v>36</v>
      </c>
      <c r="C25" s="433"/>
      <c r="D25" s="434">
        <f>B25*C25</f>
        <v>0</v>
      </c>
      <c r="H25" s="417"/>
      <c r="I25" s="417"/>
    </row>
    <row r="26" spans="1:9" x14ac:dyDescent="0.25">
      <c r="H26" s="417"/>
      <c r="I26" s="417"/>
    </row>
    <row r="27" spans="1:9" x14ac:dyDescent="0.25">
      <c r="A27" s="423" t="s">
        <v>283</v>
      </c>
      <c r="B27" s="417"/>
      <c r="C27" s="417"/>
      <c r="D27" s="417"/>
      <c r="E27" s="417"/>
      <c r="F27" s="417"/>
      <c r="G27" s="417"/>
      <c r="H27" s="417"/>
      <c r="I27" s="417"/>
    </row>
    <row r="28" spans="1:9" s="429" customFormat="1" ht="15.75" thickBot="1" x14ac:dyDescent="0.3">
      <c r="B28" s="425" t="s">
        <v>273</v>
      </c>
      <c r="C28" s="425" t="s">
        <v>284</v>
      </c>
      <c r="D28" s="425" t="s">
        <v>285</v>
      </c>
      <c r="E28" s="425" t="s">
        <v>286</v>
      </c>
      <c r="F28" s="416"/>
      <c r="H28" s="426"/>
      <c r="I28" s="426"/>
    </row>
    <row r="29" spans="1:9" x14ac:dyDescent="0.25">
      <c r="A29" s="419" t="s">
        <v>287</v>
      </c>
      <c r="B29" s="428"/>
      <c r="D29" s="427"/>
      <c r="E29" s="435" t="e">
        <f>B29/C29*D29</f>
        <v>#DIV/0!</v>
      </c>
      <c r="F29" s="428"/>
      <c r="H29" s="417"/>
      <c r="I29" s="417"/>
    </row>
    <row r="30" spans="1:9" x14ac:dyDescent="0.25">
      <c r="A30" s="419" t="s">
        <v>288</v>
      </c>
      <c r="B30" s="428"/>
      <c r="D30" s="427"/>
      <c r="E30" s="435" t="e">
        <f>B30/C30*D30</f>
        <v>#DIV/0!</v>
      </c>
      <c r="F30" s="428"/>
      <c r="H30" s="417"/>
      <c r="I30" s="417"/>
    </row>
    <row r="31" spans="1:9" x14ac:dyDescent="0.25">
      <c r="A31" s="419" t="s">
        <v>289</v>
      </c>
      <c r="B31" s="428"/>
      <c r="D31" s="427"/>
      <c r="E31" s="428" t="e">
        <f t="shared" ref="E31:E32" si="2">B31/C31*D31</f>
        <v>#DIV/0!</v>
      </c>
      <c r="F31" s="428"/>
      <c r="H31" s="417"/>
      <c r="I31" s="417"/>
    </row>
    <row r="32" spans="1:9" x14ac:dyDescent="0.25">
      <c r="A32" s="419" t="s">
        <v>290</v>
      </c>
      <c r="B32" s="428"/>
      <c r="D32" s="427"/>
      <c r="E32" s="428" t="e">
        <f t="shared" si="2"/>
        <v>#DIV/0!</v>
      </c>
      <c r="F32" s="428"/>
      <c r="H32" s="417"/>
      <c r="I32" s="417"/>
    </row>
    <row r="33" spans="1:9" x14ac:dyDescent="0.25">
      <c r="D33" s="416" t="s">
        <v>291</v>
      </c>
      <c r="E33" s="430" t="e">
        <f>SUM(E29:E32)</f>
        <v>#DIV/0!</v>
      </c>
      <c r="F33" s="431"/>
      <c r="H33" s="417"/>
      <c r="I33" s="417"/>
    </row>
    <row r="34" spans="1:9" x14ac:dyDescent="0.25">
      <c r="D34" s="416"/>
      <c r="E34" s="431"/>
      <c r="F34" s="431"/>
      <c r="H34" s="417"/>
      <c r="I34" s="417"/>
    </row>
    <row r="35" spans="1:9" ht="15.75" thickBot="1" x14ac:dyDescent="0.3">
      <c r="B35" s="425" t="s">
        <v>292</v>
      </c>
      <c r="C35" s="425" t="s">
        <v>282</v>
      </c>
      <c r="D35" s="425" t="s">
        <v>97</v>
      </c>
      <c r="E35" s="431"/>
      <c r="F35" s="431"/>
      <c r="H35" s="417"/>
      <c r="I35" s="417"/>
    </row>
    <row r="36" spans="1:9" x14ac:dyDescent="0.25">
      <c r="A36" s="419" t="s">
        <v>293</v>
      </c>
      <c r="C36" s="428"/>
      <c r="D36" s="436">
        <f>B36*C36</f>
        <v>0</v>
      </c>
      <c r="E36" s="431"/>
      <c r="F36" s="431"/>
      <c r="H36" s="417"/>
      <c r="I36" s="417"/>
    </row>
    <row r="37" spans="1:9" x14ac:dyDescent="0.25">
      <c r="D37" s="416"/>
      <c r="E37" s="431"/>
      <c r="F37" s="431"/>
      <c r="H37" s="417"/>
      <c r="I37" s="417"/>
    </row>
    <row r="38" spans="1:9" x14ac:dyDescent="0.25">
      <c r="A38" s="423" t="s">
        <v>294</v>
      </c>
      <c r="B38" s="417"/>
      <c r="C38" s="417"/>
      <c r="D38" s="417"/>
      <c r="E38" s="417"/>
      <c r="F38" s="417"/>
      <c r="G38" s="417"/>
      <c r="H38" s="417"/>
      <c r="I38" s="417"/>
    </row>
    <row r="39" spans="1:9" x14ac:dyDescent="0.25">
      <c r="A39" s="419" t="s">
        <v>295</v>
      </c>
      <c r="B39" s="437">
        <v>7.85E-2</v>
      </c>
      <c r="C39" s="438" t="s">
        <v>296</v>
      </c>
      <c r="H39" s="417"/>
      <c r="I39" s="417"/>
    </row>
    <row r="40" spans="1:9" x14ac:dyDescent="0.25">
      <c r="A40" s="419" t="s">
        <v>297</v>
      </c>
      <c r="B40" s="439" t="e">
        <f>SUM(B44:B46)</f>
        <v>#DIV/0!</v>
      </c>
      <c r="H40" s="417"/>
      <c r="I40" s="417"/>
    </row>
    <row r="41" spans="1:9" x14ac:dyDescent="0.25">
      <c r="A41" s="416" t="s">
        <v>298</v>
      </c>
      <c r="B41" s="440" t="e">
        <f>B39*B40</f>
        <v>#DIV/0!</v>
      </c>
      <c r="H41" s="417"/>
      <c r="I41" s="417"/>
    </row>
    <row r="42" spans="1:9" x14ac:dyDescent="0.25">
      <c r="A42" s="419"/>
      <c r="B42" s="441"/>
      <c r="H42" s="417"/>
      <c r="I42" s="417"/>
    </row>
    <row r="43" spans="1:9" x14ac:dyDescent="0.25">
      <c r="A43" s="423" t="s">
        <v>299</v>
      </c>
      <c r="B43" s="417"/>
      <c r="C43" s="417"/>
      <c r="D43" s="417"/>
      <c r="E43" s="417"/>
      <c r="F43" s="417"/>
      <c r="G43" s="417"/>
      <c r="H43" s="417"/>
      <c r="I43" s="417"/>
    </row>
    <row r="44" spans="1:9" x14ac:dyDescent="0.25">
      <c r="A44" s="419" t="s">
        <v>300</v>
      </c>
      <c r="B44" s="442">
        <f>F13</f>
        <v>0</v>
      </c>
      <c r="H44" s="417"/>
      <c r="I44" s="417"/>
    </row>
    <row r="45" spans="1:9" x14ac:dyDescent="0.25">
      <c r="A45" s="419" t="s">
        <v>301</v>
      </c>
      <c r="B45" s="442">
        <f>SUM(D17:D21,D25)</f>
        <v>0</v>
      </c>
      <c r="H45" s="417"/>
      <c r="I45" s="417"/>
    </row>
    <row r="46" spans="1:9" x14ac:dyDescent="0.25">
      <c r="A46" s="419" t="s">
        <v>302</v>
      </c>
      <c r="B46" s="413" t="e">
        <f>E33+D36</f>
        <v>#DIV/0!</v>
      </c>
      <c r="H46" s="417"/>
      <c r="I46" s="417"/>
    </row>
    <row r="47" spans="1:9" x14ac:dyDescent="0.25">
      <c r="A47" s="419" t="s">
        <v>303</v>
      </c>
      <c r="B47" s="442" t="e">
        <f>B41</f>
        <v>#DIV/0!</v>
      </c>
      <c r="H47" s="417"/>
      <c r="I47" s="417"/>
    </row>
    <row r="48" spans="1:9" x14ac:dyDescent="0.25">
      <c r="A48" s="419" t="s">
        <v>304</v>
      </c>
      <c r="B48" s="443" t="e">
        <f>SUM(B44:B47)</f>
        <v>#DIV/0!</v>
      </c>
      <c r="H48" s="417"/>
      <c r="I48" s="417"/>
    </row>
    <row r="49" spans="1:9" x14ac:dyDescent="0.25">
      <c r="A49" s="417"/>
      <c r="B49" s="417"/>
      <c r="C49" s="417"/>
      <c r="D49" s="417"/>
      <c r="E49" s="417"/>
      <c r="F49" s="417"/>
      <c r="G49" s="417"/>
      <c r="H49" s="417"/>
      <c r="I49" s="417"/>
    </row>
  </sheetData>
  <sheetProtection algorithmName="SHA-512" hashValue="0WFWJNWOaNkrp2fvS/Wu+5swaQ0W7f7ur+vWtTKY0jWUs6E7EasoT3EjORsCUmVluCX19u6gOzxDn0picgE26w==" saltValue="8hXIbfrOaga/+Fuxc4HuZ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BD373"/>
  <sheetViews>
    <sheetView showGridLines="0" zoomScaleNormal="100" workbookViewId="0">
      <selection activeCell="V52" sqref="V52"/>
    </sheetView>
  </sheetViews>
  <sheetFormatPr defaultColWidth="9.140625" defaultRowHeight="12.75" x14ac:dyDescent="0.2"/>
  <cols>
    <col min="1" max="1" width="0.7109375" style="7" customWidth="1"/>
    <col min="2" max="6" width="7.7109375" style="7" customWidth="1"/>
    <col min="7" max="7" width="7.85546875" style="7" customWidth="1"/>
    <col min="8" max="15" width="7.7109375" style="7" customWidth="1"/>
    <col min="16" max="17" width="7.7109375" style="9" customWidth="1"/>
    <col min="18" max="19" width="7.7109375" style="10" customWidth="1"/>
    <col min="20" max="20" width="0.7109375" style="10" customWidth="1"/>
    <col min="21" max="21" width="2.5703125" style="7" customWidth="1"/>
    <col min="22" max="22" width="36" style="7" customWidth="1"/>
    <col min="23" max="23" width="11.140625" style="7" customWidth="1"/>
    <col min="24" max="24" width="10.85546875" style="7" bestFit="1" customWidth="1"/>
    <col min="25" max="26" width="8.85546875" style="7" customWidth="1"/>
    <col min="27" max="27" width="2.7109375" style="7" customWidth="1"/>
    <col min="28" max="29" width="8.85546875" style="7" customWidth="1"/>
    <col min="30" max="30" width="3.140625" style="7" customWidth="1"/>
    <col min="31" max="32" width="8.85546875" style="7" customWidth="1"/>
    <col min="33" max="53" width="9.140625" style="7"/>
    <col min="54" max="54" width="67.5703125" style="7" customWidth="1"/>
    <col min="55" max="16384" width="9.140625" style="7"/>
  </cols>
  <sheetData>
    <row r="1" spans="1:24" ht="20.25" x14ac:dyDescent="0.2">
      <c r="A1" s="587" t="str">
        <f>"UCCS "&amp;Control!C6&amp;" Rate-Based Service Activity - Rate Development Worksheet"</f>
        <v>UCCS FY24 Rate-Based Service Activity - Rate Development Worksheet</v>
      </c>
      <c r="B1" s="587"/>
      <c r="C1" s="587"/>
      <c r="D1" s="587"/>
      <c r="E1" s="587"/>
      <c r="F1" s="587"/>
      <c r="G1" s="587"/>
      <c r="H1" s="587"/>
      <c r="I1" s="587"/>
      <c r="J1" s="587"/>
      <c r="K1" s="587"/>
      <c r="L1" s="587"/>
      <c r="M1" s="587"/>
      <c r="N1" s="587"/>
      <c r="O1" s="587"/>
      <c r="P1" s="587"/>
      <c r="Q1" s="587"/>
      <c r="R1" s="587"/>
      <c r="S1" s="587"/>
      <c r="T1" s="587"/>
    </row>
    <row r="2" spans="1:24" ht="4.5" customHeight="1" x14ac:dyDescent="0.2">
      <c r="B2" s="8"/>
      <c r="C2" s="8"/>
      <c r="D2" s="8"/>
      <c r="E2" s="8"/>
      <c r="F2" s="8"/>
      <c r="G2" s="8"/>
      <c r="H2" s="8"/>
      <c r="I2" s="8"/>
      <c r="J2" s="8"/>
      <c r="K2" s="8"/>
      <c r="L2" s="8"/>
      <c r="M2" s="8"/>
      <c r="N2" s="8"/>
      <c r="O2" s="8"/>
    </row>
    <row r="3" spans="1:24" ht="15.75" customHeight="1" x14ac:dyDescent="0.2">
      <c r="A3" s="588" t="s">
        <v>186</v>
      </c>
      <c r="B3" s="588"/>
      <c r="C3" s="588"/>
      <c r="D3" s="588"/>
      <c r="E3" s="588"/>
      <c r="F3" s="588"/>
      <c r="G3" s="588"/>
      <c r="H3" s="588"/>
      <c r="I3" s="588"/>
      <c r="J3" s="588"/>
      <c r="K3" s="588"/>
      <c r="L3" s="588"/>
      <c r="M3" s="588"/>
      <c r="N3" s="588"/>
      <c r="O3" s="588"/>
      <c r="P3" s="588"/>
      <c r="Q3" s="588"/>
      <c r="R3" s="588"/>
      <c r="S3" s="588"/>
      <c r="T3" s="588"/>
    </row>
    <row r="4" spans="1:24" ht="4.5" customHeight="1" thickBot="1" x14ac:dyDescent="0.25">
      <c r="B4" s="8"/>
      <c r="C4" s="8"/>
      <c r="D4" s="8"/>
      <c r="E4" s="8"/>
      <c r="F4" s="8"/>
      <c r="G4" s="8"/>
      <c r="H4" s="8"/>
      <c r="I4" s="8"/>
      <c r="J4" s="8"/>
      <c r="K4" s="8"/>
      <c r="L4" s="8"/>
      <c r="M4" s="8"/>
      <c r="N4" s="8"/>
      <c r="O4" s="8"/>
    </row>
    <row r="5" spans="1:24" ht="21.75" customHeight="1" x14ac:dyDescent="0.2">
      <c r="A5" s="11"/>
      <c r="B5" s="403" t="s">
        <v>236</v>
      </c>
      <c r="C5" s="12" t="str">
        <f>IF(Q5&lt;&gt;"Step Complete","Complete Certification tab first","General Information")</f>
        <v>General Information</v>
      </c>
      <c r="D5" s="12"/>
      <c r="E5" s="12"/>
      <c r="F5" s="12"/>
      <c r="G5" s="12"/>
      <c r="H5" s="12"/>
      <c r="I5" s="12"/>
      <c r="J5" s="12"/>
      <c r="K5" s="12"/>
      <c r="L5" s="12"/>
      <c r="M5" s="12"/>
      <c r="N5" s="12"/>
      <c r="O5" s="12"/>
      <c r="P5" s="12"/>
      <c r="Q5" s="560" t="str">
        <f>IF(AND(L7&lt;&gt;"",ISBLANK(M9)=FALSE),"Step Complete","")</f>
        <v>Step Complete</v>
      </c>
      <c r="R5" s="560"/>
      <c r="S5" s="560"/>
      <c r="T5" s="13"/>
      <c r="V5" s="326"/>
      <c r="W5" s="326"/>
      <c r="X5" s="326"/>
    </row>
    <row r="6" spans="1:24" ht="4.5" customHeight="1" x14ac:dyDescent="0.2">
      <c r="A6" s="14"/>
      <c r="B6" s="15"/>
      <c r="C6" s="15"/>
      <c r="D6" s="15"/>
      <c r="E6" s="15"/>
      <c r="F6" s="15"/>
      <c r="G6" s="15"/>
      <c r="H6" s="15"/>
      <c r="I6" s="15"/>
      <c r="J6" s="15"/>
      <c r="K6" s="15"/>
      <c r="L6" s="15"/>
      <c r="M6" s="15"/>
      <c r="N6" s="15"/>
      <c r="O6" s="15"/>
      <c r="P6" s="15"/>
      <c r="Q6" s="16"/>
      <c r="R6" s="16"/>
      <c r="S6" s="16"/>
      <c r="T6" s="17"/>
      <c r="V6" s="326"/>
      <c r="W6" s="326"/>
      <c r="X6" s="326"/>
    </row>
    <row r="7" spans="1:24" ht="13.5" customHeight="1" x14ac:dyDescent="0.2">
      <c r="A7" s="14"/>
      <c r="B7" s="18" t="s">
        <v>72</v>
      </c>
      <c r="C7" s="19">
        <f>IF(L7="","",VALUE(MID(L7,2,2)))</f>
        <v>29</v>
      </c>
      <c r="E7" s="18" t="s">
        <v>64</v>
      </c>
      <c r="F7" s="19">
        <v>11111</v>
      </c>
      <c r="H7" s="18" t="s">
        <v>63</v>
      </c>
      <c r="I7" s="19">
        <v>55555</v>
      </c>
      <c r="K7" s="18" t="s">
        <v>65</v>
      </c>
      <c r="L7" s="630">
        <v>12912345</v>
      </c>
      <c r="M7" s="630"/>
      <c r="P7" s="7"/>
      <c r="Q7" s="7"/>
      <c r="R7" s="7"/>
      <c r="S7" s="7"/>
      <c r="T7" s="20"/>
      <c r="W7" s="326"/>
      <c r="X7" s="326"/>
    </row>
    <row r="8" spans="1:24" ht="4.5" customHeight="1" x14ac:dyDescent="0.2">
      <c r="A8" s="14"/>
      <c r="F8" s="21"/>
      <c r="G8" s="21"/>
      <c r="P8" s="7"/>
      <c r="Q8" s="7"/>
      <c r="R8" s="7"/>
      <c r="S8" s="7"/>
      <c r="T8" s="22"/>
      <c r="W8" s="326"/>
      <c r="X8" s="326"/>
    </row>
    <row r="9" spans="1:24" ht="13.5" customHeight="1" x14ac:dyDescent="0.2">
      <c r="A9" s="14"/>
      <c r="C9" s="18" t="s">
        <v>62</v>
      </c>
      <c r="D9" s="522" t="str">
        <f>IF(ISBLANK(Certification!E13),"",Certification!E13)</f>
        <v/>
      </c>
      <c r="E9" s="522"/>
      <c r="F9" s="522"/>
      <c r="G9" s="522"/>
      <c r="H9" s="522"/>
      <c r="L9" s="18" t="s">
        <v>174</v>
      </c>
      <c r="M9" s="523" t="str">
        <f>IF(ISBLANK(Certification!E15),"",Certification!E15)</f>
        <v/>
      </c>
      <c r="N9" s="524"/>
      <c r="O9" s="524"/>
      <c r="P9" s="524"/>
      <c r="Q9" s="524"/>
      <c r="R9" s="7"/>
      <c r="S9" s="7"/>
      <c r="T9" s="22"/>
      <c r="W9" s="326"/>
      <c r="X9" s="326"/>
    </row>
    <row r="10" spans="1:24" ht="4.5" customHeight="1" x14ac:dyDescent="0.2">
      <c r="A10" s="14"/>
      <c r="C10" s="18"/>
      <c r="D10" s="23"/>
      <c r="E10" s="23"/>
      <c r="F10" s="23"/>
      <c r="G10" s="23"/>
      <c r="H10" s="23"/>
      <c r="L10" s="18"/>
      <c r="M10" s="24"/>
      <c r="N10" s="25"/>
      <c r="O10" s="25"/>
      <c r="P10" s="25"/>
      <c r="Q10" s="25"/>
      <c r="R10" s="7"/>
      <c r="S10" s="7"/>
      <c r="T10" s="22"/>
      <c r="W10" s="326"/>
      <c r="X10" s="326"/>
    </row>
    <row r="11" spans="1:24" ht="13.5" customHeight="1" x14ac:dyDescent="0.2">
      <c r="A11" s="14"/>
      <c r="C11" s="18"/>
      <c r="D11" s="23"/>
      <c r="E11" s="23"/>
      <c r="F11" s="23"/>
      <c r="G11" s="23"/>
      <c r="H11" s="23"/>
      <c r="J11" s="26"/>
      <c r="K11" s="27" t="s">
        <v>120</v>
      </c>
      <c r="L11" s="6" t="s">
        <v>123</v>
      </c>
      <c r="M11" s="28" t="s">
        <v>121</v>
      </c>
      <c r="N11" s="25"/>
      <c r="O11" s="25"/>
      <c r="P11" s="25"/>
      <c r="Q11" s="25"/>
      <c r="R11" s="7"/>
      <c r="S11" s="7"/>
      <c r="T11" s="22"/>
      <c r="W11" s="326"/>
      <c r="X11" s="326"/>
    </row>
    <row r="12" spans="1:24" ht="4.5" customHeight="1" thickBot="1" x14ac:dyDescent="0.25">
      <c r="A12" s="29"/>
      <c r="B12" s="30"/>
      <c r="C12" s="30"/>
      <c r="D12" s="30"/>
      <c r="E12" s="30"/>
      <c r="F12" s="30"/>
      <c r="G12" s="30"/>
      <c r="H12" s="30"/>
      <c r="I12" s="30"/>
      <c r="J12" s="30"/>
      <c r="K12" s="31"/>
      <c r="L12" s="31"/>
      <c r="M12" s="31"/>
      <c r="N12" s="31"/>
      <c r="O12" s="31"/>
      <c r="P12" s="31"/>
      <c r="Q12" s="31"/>
      <c r="R12" s="31"/>
      <c r="S12" s="31"/>
      <c r="T12" s="32"/>
    </row>
    <row r="13" spans="1:24" ht="13.5" customHeight="1" thickBot="1" x14ac:dyDescent="0.25">
      <c r="B13" s="8"/>
      <c r="C13" s="8"/>
      <c r="D13" s="8"/>
      <c r="E13" s="8"/>
      <c r="F13" s="8"/>
      <c r="G13" s="8"/>
      <c r="H13" s="8"/>
      <c r="I13" s="8"/>
      <c r="J13" s="8"/>
      <c r="K13" s="18"/>
      <c r="L13" s="18"/>
      <c r="M13" s="18"/>
      <c r="N13" s="18"/>
      <c r="O13" s="18"/>
      <c r="P13" s="33"/>
      <c r="Q13" s="34"/>
      <c r="R13" s="34"/>
      <c r="S13" s="34"/>
      <c r="T13" s="34"/>
      <c r="V13" s="326"/>
      <c r="W13" s="326"/>
      <c r="X13" s="326"/>
    </row>
    <row r="14" spans="1:24" ht="21.75" customHeight="1" x14ac:dyDescent="0.2">
      <c r="A14" s="11"/>
      <c r="B14" s="403" t="s">
        <v>237</v>
      </c>
      <c r="C14" s="12" t="str">
        <f>IF(Q5&lt;&gt;"Step Complete","Complete Step 1 first","Sales and Fund Balances History")</f>
        <v>Sales and Fund Balances History</v>
      </c>
      <c r="D14" s="12"/>
      <c r="E14" s="12"/>
      <c r="F14" s="12"/>
      <c r="G14" s="12"/>
      <c r="H14" s="12" t="str">
        <f>IF(ISBLANK(#REF!),"Complete step 2 before proceeding","")</f>
        <v/>
      </c>
      <c r="I14" s="12"/>
      <c r="J14" s="12"/>
      <c r="K14" s="12"/>
      <c r="L14" s="12"/>
      <c r="M14" s="12"/>
      <c r="N14" s="12"/>
      <c r="O14" s="12"/>
      <c r="P14" s="12"/>
      <c r="Q14" s="629" t="str">
        <f>IF(AND(ISBLANK(H29)=FALSE,ISBLANK(M29)=FALSE,ISBLANK(R29)=FALSE,ISERROR(SEARCH("required",F58)),ISERROR(SEARCH("required",K58)),ISERROR(SEARCH("required",P58)),Q5="Step Complete"),"Step Complete","")</f>
        <v>Step Complete</v>
      </c>
      <c r="R14" s="629"/>
      <c r="S14" s="629"/>
      <c r="T14" s="13"/>
      <c r="V14" s="326"/>
      <c r="W14" s="326"/>
      <c r="X14" s="326"/>
    </row>
    <row r="15" spans="1:24" ht="6.75" customHeight="1" x14ac:dyDescent="0.2">
      <c r="A15" s="14"/>
      <c r="B15" s="642" t="s">
        <v>187</v>
      </c>
      <c r="C15" s="642"/>
      <c r="D15" s="642"/>
      <c r="E15" s="642"/>
      <c r="F15" s="15"/>
      <c r="G15" s="15"/>
      <c r="H15" s="15"/>
      <c r="I15" s="15"/>
      <c r="J15" s="15"/>
      <c r="K15" s="15"/>
      <c r="L15" s="15"/>
      <c r="M15" s="15"/>
      <c r="N15" s="15"/>
      <c r="O15" s="15"/>
      <c r="P15" s="15"/>
      <c r="Q15" s="15"/>
      <c r="R15" s="15"/>
      <c r="S15" s="15"/>
      <c r="T15" s="17"/>
      <c r="V15" s="326"/>
      <c r="W15" s="326"/>
      <c r="X15" s="326"/>
    </row>
    <row r="16" spans="1:24" ht="13.5" customHeight="1" x14ac:dyDescent="0.2">
      <c r="A16" s="14"/>
      <c r="B16" s="642"/>
      <c r="C16" s="642"/>
      <c r="D16" s="642"/>
      <c r="E16" s="642"/>
      <c r="F16" s="584" t="s">
        <v>80</v>
      </c>
      <c r="G16" s="584"/>
      <c r="H16" s="584"/>
      <c r="I16" s="584"/>
      <c r="K16" s="631" t="s">
        <v>35</v>
      </c>
      <c r="L16" s="631"/>
      <c r="M16" s="631"/>
      <c r="N16" s="631"/>
      <c r="P16" s="631" t="s">
        <v>35</v>
      </c>
      <c r="Q16" s="631"/>
      <c r="R16" s="631"/>
      <c r="S16" s="631"/>
      <c r="T16" s="35"/>
      <c r="V16" s="327"/>
      <c r="W16" s="326"/>
      <c r="X16" s="326"/>
    </row>
    <row r="17" spans="1:24" ht="13.5" customHeight="1" x14ac:dyDescent="0.2">
      <c r="A17" s="14"/>
      <c r="B17" s="642"/>
      <c r="C17" s="642"/>
      <c r="D17" s="642"/>
      <c r="E17" s="642"/>
      <c r="F17" s="590" t="str">
        <f>Control!$C$7</f>
        <v>FY23</v>
      </c>
      <c r="G17" s="590"/>
      <c r="H17" s="590"/>
      <c r="I17" s="590"/>
      <c r="K17" s="590" t="str">
        <f>Control!$C$8</f>
        <v>FY22</v>
      </c>
      <c r="L17" s="590"/>
      <c r="M17" s="590"/>
      <c r="N17" s="590"/>
      <c r="P17" s="590" t="str">
        <f>Control!$C$9</f>
        <v>FY21</v>
      </c>
      <c r="Q17" s="590"/>
      <c r="R17" s="590"/>
      <c r="S17" s="590"/>
      <c r="T17" s="35"/>
      <c r="V17" s="327"/>
      <c r="W17" s="326"/>
      <c r="X17" s="326"/>
    </row>
    <row r="18" spans="1:24" ht="13.5" customHeight="1" x14ac:dyDescent="0.2">
      <c r="A18" s="14"/>
      <c r="B18" s="642"/>
      <c r="C18" s="642"/>
      <c r="D18" s="642"/>
      <c r="E18" s="642"/>
      <c r="F18" s="36" t="str">
        <f>IF(SampleSwitch="No","Units","$ sales")</f>
        <v>Units</v>
      </c>
      <c r="G18" s="36" t="str">
        <f>IF(SampleSwitch="No","$/unit","% margin")</f>
        <v>$/unit</v>
      </c>
      <c r="H18" s="564" t="s">
        <v>97</v>
      </c>
      <c r="I18" s="564"/>
      <c r="J18" s="37"/>
      <c r="K18" s="36" t="str">
        <f>IF(SampleSwitch="No","Units","$ sales")</f>
        <v>Units</v>
      </c>
      <c r="L18" s="36" t="str">
        <f>IF(SampleSwitch="No","$/unit","% margin")</f>
        <v>$/unit</v>
      </c>
      <c r="M18" s="564" t="s">
        <v>97</v>
      </c>
      <c r="N18" s="564"/>
      <c r="O18" s="37"/>
      <c r="P18" s="36" t="str">
        <f>IF(SampleSwitch="No","Units","$ sales")</f>
        <v>Units</v>
      </c>
      <c r="Q18" s="36" t="str">
        <f>IF(SampleSwitch="No","$/unit","% margin")</f>
        <v>$/unit</v>
      </c>
      <c r="R18" s="564" t="s">
        <v>97</v>
      </c>
      <c r="S18" s="564"/>
      <c r="T18" s="38"/>
      <c r="V18" s="327"/>
      <c r="W18" s="326"/>
      <c r="X18" s="326"/>
    </row>
    <row r="19" spans="1:24" ht="13.5" customHeight="1" x14ac:dyDescent="0.2">
      <c r="A19" s="14"/>
      <c r="B19" s="536" t="s">
        <v>110</v>
      </c>
      <c r="C19" s="536"/>
      <c r="D19" s="536"/>
      <c r="E19" s="536"/>
      <c r="F19" s="39"/>
      <c r="G19" s="40"/>
      <c r="H19" s="565">
        <f>M56</f>
        <v>250</v>
      </c>
      <c r="I19" s="565"/>
      <c r="J19" s="37"/>
      <c r="K19" s="39"/>
      <c r="L19" s="40"/>
      <c r="M19" s="565">
        <f>R56</f>
        <v>650</v>
      </c>
      <c r="N19" s="565"/>
      <c r="O19" s="37"/>
      <c r="P19" s="39"/>
      <c r="Q19" s="40"/>
      <c r="R19" s="640">
        <v>500</v>
      </c>
      <c r="S19" s="641"/>
      <c r="T19" s="38"/>
      <c r="V19" s="327"/>
      <c r="W19" s="326"/>
      <c r="X19" s="326"/>
    </row>
    <row r="20" spans="1:24" ht="4.5" customHeight="1" x14ac:dyDescent="0.2">
      <c r="A20" s="14"/>
      <c r="B20" s="41"/>
      <c r="C20" s="41"/>
      <c r="D20" s="41"/>
      <c r="E20" s="41"/>
      <c r="G20" s="42"/>
      <c r="H20" s="43"/>
      <c r="I20" s="43"/>
      <c r="J20" s="37"/>
      <c r="L20" s="42"/>
      <c r="M20" s="43"/>
      <c r="N20" s="43"/>
      <c r="O20" s="37"/>
      <c r="P20" s="7"/>
      <c r="Q20" s="42"/>
      <c r="R20" s="43"/>
      <c r="S20" s="43"/>
      <c r="T20" s="38"/>
      <c r="V20" s="327"/>
      <c r="W20" s="326"/>
      <c r="X20" s="326"/>
    </row>
    <row r="21" spans="1:24" ht="13.5" customHeight="1" x14ac:dyDescent="0.2">
      <c r="A21" s="14"/>
      <c r="B21" s="536" t="s">
        <v>144</v>
      </c>
      <c r="C21" s="536"/>
      <c r="D21" s="536"/>
      <c r="E21" s="536"/>
      <c r="G21" s="44" t="s">
        <v>98</v>
      </c>
      <c r="H21" s="591">
        <v>0</v>
      </c>
      <c r="I21" s="592"/>
      <c r="J21" s="45"/>
      <c r="L21" s="44" t="s">
        <v>98</v>
      </c>
      <c r="M21" s="591">
        <v>0</v>
      </c>
      <c r="N21" s="592"/>
      <c r="O21" s="45"/>
      <c r="P21" s="7"/>
      <c r="Q21" s="44" t="s">
        <v>98</v>
      </c>
      <c r="R21" s="591">
        <v>400</v>
      </c>
      <c r="S21" s="592"/>
      <c r="T21" s="46"/>
      <c r="V21" s="327"/>
      <c r="W21" s="326"/>
      <c r="X21" s="326"/>
    </row>
    <row r="22" spans="1:24" ht="4.5" customHeight="1" x14ac:dyDescent="0.2">
      <c r="A22" s="14"/>
      <c r="B22" s="41"/>
      <c r="C22" s="41"/>
      <c r="D22" s="41"/>
      <c r="E22" s="41"/>
      <c r="G22" s="42"/>
      <c r="H22" s="47"/>
      <c r="I22" s="47"/>
      <c r="J22" s="37"/>
      <c r="L22" s="42"/>
      <c r="M22" s="47"/>
      <c r="N22" s="47"/>
      <c r="O22" s="37"/>
      <c r="P22" s="7"/>
      <c r="Q22" s="42"/>
      <c r="R22" s="47"/>
      <c r="S22" s="47"/>
      <c r="T22" s="38"/>
      <c r="V22" s="327"/>
      <c r="W22" s="326"/>
      <c r="X22" s="326"/>
    </row>
    <row r="23" spans="1:24" ht="13.5" customHeight="1" x14ac:dyDescent="0.2">
      <c r="A23" s="14"/>
      <c r="B23" s="594" t="s">
        <v>111</v>
      </c>
      <c r="C23" s="595"/>
      <c r="D23" s="595"/>
      <c r="E23" s="595"/>
      <c r="F23" s="179">
        <v>400</v>
      </c>
      <c r="G23" s="180">
        <v>10</v>
      </c>
      <c r="H23" s="566">
        <f>ROUND(F23*G23,2)</f>
        <v>4000</v>
      </c>
      <c r="I23" s="566"/>
      <c r="J23" s="48">
        <f>IFERROR(F23/SUM(F$23:F$26),0)</f>
        <v>0.4</v>
      </c>
      <c r="K23" s="179">
        <v>400</v>
      </c>
      <c r="L23" s="180">
        <v>9</v>
      </c>
      <c r="M23" s="566">
        <f>ROUND(K23*L23,2)</f>
        <v>3600</v>
      </c>
      <c r="N23" s="566"/>
      <c r="O23" s="48">
        <f>IFERROR(K23/SUM(K$23:K$26),0)</f>
        <v>0.4</v>
      </c>
      <c r="P23" s="179">
        <v>400</v>
      </c>
      <c r="Q23" s="180">
        <v>9</v>
      </c>
      <c r="R23" s="566">
        <f>ROUND(P23*Q23,2)</f>
        <v>3600</v>
      </c>
      <c r="S23" s="566"/>
      <c r="T23" s="49">
        <f>IFERROR(P23/SUM(P$23:P$26),0)</f>
        <v>0.4</v>
      </c>
      <c r="V23" s="327"/>
      <c r="W23" s="326"/>
      <c r="X23" s="326"/>
    </row>
    <row r="24" spans="1:24" ht="13.5" customHeight="1" x14ac:dyDescent="0.2">
      <c r="A24" s="14"/>
      <c r="B24" s="579" t="s">
        <v>112</v>
      </c>
      <c r="C24" s="580"/>
      <c r="D24" s="580"/>
      <c r="E24" s="580"/>
      <c r="F24" s="179">
        <v>300</v>
      </c>
      <c r="G24" s="180">
        <v>11</v>
      </c>
      <c r="H24" s="566">
        <f>ROUND(F24*G24,2)</f>
        <v>3300</v>
      </c>
      <c r="I24" s="566"/>
      <c r="J24" s="48">
        <f t="shared" ref="J24:J26" si="0">IFERROR(F24/SUM(F$23:F$26),0)</f>
        <v>0.3</v>
      </c>
      <c r="K24" s="179">
        <v>300</v>
      </c>
      <c r="L24" s="180">
        <v>10</v>
      </c>
      <c r="M24" s="566">
        <f>ROUND(K24*L24,2)</f>
        <v>3000</v>
      </c>
      <c r="N24" s="566"/>
      <c r="O24" s="48">
        <f t="shared" ref="O24:O26" si="1">IFERROR(K24/SUM(K$23:K$26),0)</f>
        <v>0.3</v>
      </c>
      <c r="P24" s="179">
        <v>300</v>
      </c>
      <c r="Q24" s="180">
        <v>10</v>
      </c>
      <c r="R24" s="566">
        <f>ROUND(P24*Q24,2)</f>
        <v>3000</v>
      </c>
      <c r="S24" s="566"/>
      <c r="T24" s="49">
        <f t="shared" ref="T24:T26" si="2">IFERROR(P24/SUM(P$23:P$26),0)</f>
        <v>0.3</v>
      </c>
      <c r="V24" s="327"/>
      <c r="W24" s="326"/>
      <c r="X24" s="326"/>
    </row>
    <row r="25" spans="1:24" ht="13.5" customHeight="1" x14ac:dyDescent="0.2">
      <c r="A25" s="14"/>
      <c r="B25" s="579" t="s">
        <v>113</v>
      </c>
      <c r="C25" s="580"/>
      <c r="D25" s="580"/>
      <c r="E25" s="580"/>
      <c r="F25" s="179">
        <v>200</v>
      </c>
      <c r="G25" s="180">
        <v>13</v>
      </c>
      <c r="H25" s="566">
        <f>ROUND(F25*G25,2)</f>
        <v>2600</v>
      </c>
      <c r="I25" s="566"/>
      <c r="J25" s="48">
        <f t="shared" si="0"/>
        <v>0.2</v>
      </c>
      <c r="K25" s="179">
        <v>200</v>
      </c>
      <c r="L25" s="180">
        <v>12</v>
      </c>
      <c r="M25" s="566">
        <f>ROUND(K25*L25,2)</f>
        <v>2400</v>
      </c>
      <c r="N25" s="566"/>
      <c r="O25" s="48">
        <f t="shared" si="1"/>
        <v>0.2</v>
      </c>
      <c r="P25" s="179">
        <v>200</v>
      </c>
      <c r="Q25" s="180">
        <v>12</v>
      </c>
      <c r="R25" s="566">
        <f>ROUND(P25*Q25,2)</f>
        <v>2400</v>
      </c>
      <c r="S25" s="566"/>
      <c r="T25" s="49">
        <f t="shared" si="2"/>
        <v>0.2</v>
      </c>
      <c r="V25" s="327"/>
      <c r="W25" s="326"/>
      <c r="X25" s="326"/>
    </row>
    <row r="26" spans="1:24" ht="13.5" customHeight="1" x14ac:dyDescent="0.2">
      <c r="A26" s="14"/>
      <c r="B26" s="579" t="s">
        <v>114</v>
      </c>
      <c r="C26" s="580"/>
      <c r="D26" s="580"/>
      <c r="E26" s="580"/>
      <c r="F26" s="179">
        <v>100</v>
      </c>
      <c r="G26" s="180">
        <v>16</v>
      </c>
      <c r="H26" s="569">
        <f>ROUND(F26*G26,2)</f>
        <v>1600</v>
      </c>
      <c r="I26" s="569"/>
      <c r="J26" s="48">
        <f t="shared" si="0"/>
        <v>0.1</v>
      </c>
      <c r="K26" s="179">
        <v>100</v>
      </c>
      <c r="L26" s="180">
        <v>15</v>
      </c>
      <c r="M26" s="569">
        <f>ROUND(K26*L26,2)</f>
        <v>1500</v>
      </c>
      <c r="N26" s="569"/>
      <c r="O26" s="48">
        <f t="shared" si="1"/>
        <v>0.1</v>
      </c>
      <c r="P26" s="179">
        <v>100</v>
      </c>
      <c r="Q26" s="180">
        <v>15</v>
      </c>
      <c r="R26" s="569">
        <f>ROUND(P26*Q26,2)</f>
        <v>1500</v>
      </c>
      <c r="S26" s="569"/>
      <c r="T26" s="49">
        <f t="shared" si="2"/>
        <v>0.1</v>
      </c>
      <c r="V26" s="327"/>
      <c r="W26" s="326"/>
      <c r="X26" s="326"/>
    </row>
    <row r="27" spans="1:24" ht="13.5" customHeight="1" x14ac:dyDescent="0.2">
      <c r="A27" s="14"/>
      <c r="B27" s="50" t="s">
        <v>115</v>
      </c>
      <c r="C27" s="51"/>
      <c r="D27" s="51"/>
      <c r="E27" s="51"/>
      <c r="F27" s="52"/>
      <c r="G27" s="42"/>
      <c r="H27" s="565">
        <f>SUM(H23:I26)</f>
        <v>11500</v>
      </c>
      <c r="I27" s="565"/>
      <c r="J27" s="48"/>
      <c r="K27" s="52"/>
      <c r="L27" s="42"/>
      <c r="M27" s="565">
        <f>SUM(M23:N26)</f>
        <v>10500</v>
      </c>
      <c r="N27" s="565"/>
      <c r="O27" s="48"/>
      <c r="P27" s="52"/>
      <c r="Q27" s="42"/>
      <c r="R27" s="565">
        <f>SUM(R23:S26)</f>
        <v>10500</v>
      </c>
      <c r="S27" s="565"/>
      <c r="T27" s="49"/>
      <c r="V27" s="327"/>
      <c r="W27" s="326"/>
      <c r="X27" s="326"/>
    </row>
    <row r="28" spans="1:24" ht="4.5" customHeight="1" x14ac:dyDescent="0.2">
      <c r="A28" s="14"/>
      <c r="B28" s="41"/>
      <c r="C28" s="41"/>
      <c r="D28" s="41"/>
      <c r="E28" s="41"/>
      <c r="G28" s="42"/>
      <c r="H28" s="43"/>
      <c r="I28" s="43"/>
      <c r="J28" s="37"/>
      <c r="L28" s="42"/>
      <c r="M28" s="43"/>
      <c r="N28" s="43"/>
      <c r="O28" s="37"/>
      <c r="P28" s="7"/>
      <c r="Q28" s="42"/>
      <c r="R28" s="43"/>
      <c r="S28" s="43"/>
      <c r="T28" s="38"/>
      <c r="V28" s="327"/>
      <c r="W28" s="326"/>
      <c r="X28" s="326"/>
    </row>
    <row r="29" spans="1:24" ht="13.5" customHeight="1" x14ac:dyDescent="0.2">
      <c r="A29" s="14"/>
      <c r="B29" s="536" t="str">
        <f>"Total allowable exps."&amp;IF(SampleSwitch="No","",", excl. inventory")</f>
        <v>Total allowable exps.</v>
      </c>
      <c r="C29" s="536"/>
      <c r="D29" s="536"/>
      <c r="E29" s="536"/>
      <c r="G29" s="44" t="s">
        <v>146</v>
      </c>
      <c r="H29" s="591">
        <v>11000</v>
      </c>
      <c r="I29" s="592"/>
      <c r="J29" s="37"/>
      <c r="L29" s="44" t="s">
        <v>146</v>
      </c>
      <c r="M29" s="591">
        <v>10500</v>
      </c>
      <c r="N29" s="592"/>
      <c r="P29" s="7"/>
      <c r="Q29" s="44" t="s">
        <v>146</v>
      </c>
      <c r="R29" s="591">
        <v>10000</v>
      </c>
      <c r="S29" s="592"/>
      <c r="T29" s="35"/>
      <c r="V29" s="327"/>
      <c r="W29" s="326"/>
      <c r="X29" s="326"/>
    </row>
    <row r="30" spans="1:24" ht="4.5" customHeight="1" x14ac:dyDescent="0.2">
      <c r="A30" s="14"/>
      <c r="B30" s="41"/>
      <c r="C30" s="41"/>
      <c r="D30" s="41"/>
      <c r="E30" s="41"/>
      <c r="G30" s="53"/>
      <c r="H30" s="47"/>
      <c r="I30" s="47"/>
      <c r="J30" s="37"/>
      <c r="L30" s="53"/>
      <c r="M30" s="47"/>
      <c r="N30" s="47"/>
      <c r="P30" s="7"/>
      <c r="Q30" s="53"/>
      <c r="R30" s="47"/>
      <c r="S30" s="47"/>
      <c r="T30" s="35"/>
      <c r="V30" s="327"/>
      <c r="W30" s="326"/>
      <c r="X30" s="326"/>
    </row>
    <row r="31" spans="1:24" ht="13.5" customHeight="1" x14ac:dyDescent="0.2">
      <c r="A31" s="14"/>
      <c r="B31" s="54" t="s">
        <v>148</v>
      </c>
      <c r="C31" s="55"/>
      <c r="D31" s="55"/>
      <c r="E31" s="55"/>
      <c r="F31" s="56"/>
      <c r="G31" s="56"/>
      <c r="H31" s="56"/>
      <c r="I31" s="56"/>
      <c r="J31" s="57"/>
      <c r="K31" s="56"/>
      <c r="L31" s="58"/>
      <c r="M31" s="56"/>
      <c r="N31" s="56"/>
      <c r="O31" s="56"/>
      <c r="P31" s="56"/>
      <c r="Q31" s="58"/>
      <c r="R31" s="59"/>
      <c r="S31" s="59"/>
      <c r="T31" s="35"/>
      <c r="V31" s="327"/>
      <c r="W31" s="326"/>
      <c r="X31" s="326"/>
    </row>
    <row r="32" spans="1:24" ht="13.5" customHeight="1" x14ac:dyDescent="0.2">
      <c r="A32" s="14"/>
      <c r="B32" s="60" t="s">
        <v>141</v>
      </c>
      <c r="C32" s="55"/>
      <c r="D32" s="55"/>
      <c r="E32" s="55"/>
      <c r="F32" s="56"/>
      <c r="G32" s="58"/>
      <c r="H32" s="632">
        <f>H$19</f>
        <v>250</v>
      </c>
      <c r="I32" s="632"/>
      <c r="J32" s="57"/>
      <c r="K32" s="56"/>
      <c r="L32" s="58"/>
      <c r="M32" s="625">
        <f>M$19</f>
        <v>650</v>
      </c>
      <c r="N32" s="625"/>
      <c r="O32" s="61"/>
      <c r="P32" s="61"/>
      <c r="Q32" s="62"/>
      <c r="R32" s="625">
        <f>R$19</f>
        <v>500</v>
      </c>
      <c r="S32" s="625"/>
      <c r="T32" s="35"/>
      <c r="V32" s="327"/>
      <c r="W32" s="326"/>
      <c r="X32" s="326"/>
    </row>
    <row r="33" spans="1:25" ht="13.5" customHeight="1" x14ac:dyDescent="0.2">
      <c r="A33" s="14"/>
      <c r="B33" s="63" t="s">
        <v>142</v>
      </c>
      <c r="C33" s="55"/>
      <c r="D33" s="55"/>
      <c r="E33" s="55"/>
      <c r="F33" s="626"/>
      <c r="G33" s="626"/>
      <c r="H33" s="586">
        <f>IFERROR(H21+H23-(H29*J23),"")</f>
        <v>-400</v>
      </c>
      <c r="I33" s="586"/>
      <c r="J33" s="57"/>
      <c r="K33" s="56"/>
      <c r="L33" s="58"/>
      <c r="M33" s="586">
        <f>IFERROR(M21+M23-(M29*O23),"")</f>
        <v>-600</v>
      </c>
      <c r="N33" s="586"/>
      <c r="O33" s="56"/>
      <c r="P33" s="56"/>
      <c r="Q33" s="58"/>
      <c r="R33" s="586">
        <f>IFERROR(R21+R23-(R29*T23),"")</f>
        <v>0</v>
      </c>
      <c r="S33" s="586"/>
      <c r="T33" s="35"/>
      <c r="V33" s="327"/>
      <c r="W33" s="326"/>
      <c r="X33" s="326"/>
    </row>
    <row r="34" spans="1:25" ht="13.5" customHeight="1" x14ac:dyDescent="0.2">
      <c r="A34" s="14"/>
      <c r="B34" s="63" t="s">
        <v>143</v>
      </c>
      <c r="C34" s="55"/>
      <c r="D34" s="55"/>
      <c r="E34" s="55"/>
      <c r="F34" s="56"/>
      <c r="G34" s="58"/>
      <c r="H34" s="586">
        <f>IFERROR(ROUND(H29*-1*SUM(J24:J26)+SUM(H24:H26),0),"")</f>
        <v>900</v>
      </c>
      <c r="I34" s="586"/>
      <c r="J34" s="57"/>
      <c r="K34" s="56"/>
      <c r="L34" s="58"/>
      <c r="M34" s="586">
        <f>IFERROR(ROUND(M29*-1*SUM(O24:O26)+SUM(M24:M26),0),"")</f>
        <v>600</v>
      </c>
      <c r="N34" s="586"/>
      <c r="O34" s="56"/>
      <c r="P34" s="56"/>
      <c r="Q34" s="58"/>
      <c r="R34" s="586">
        <f>IFERROR(ROUND(R29*-1*SUM(T24:T26)+SUM(R24:R26),0),"")</f>
        <v>900</v>
      </c>
      <c r="S34" s="586"/>
      <c r="T34" s="35"/>
      <c r="V34" s="327"/>
      <c r="W34" s="326"/>
      <c r="X34" s="326"/>
    </row>
    <row r="35" spans="1:25" ht="13.5" customHeight="1" x14ac:dyDescent="0.2">
      <c r="A35" s="14"/>
      <c r="B35" s="55" t="s">
        <v>138</v>
      </c>
      <c r="C35" s="55"/>
      <c r="D35" s="55"/>
      <c r="E35" s="55"/>
      <c r="F35" s="627">
        <f>IFERROR(H35/G$36,"")</f>
        <v>62.240663900414937</v>
      </c>
      <c r="G35" s="627"/>
      <c r="H35" s="570">
        <f>SUM(H32:I34)</f>
        <v>750</v>
      </c>
      <c r="I35" s="570"/>
      <c r="J35" s="57"/>
      <c r="K35" s="627">
        <f>IFERROR(M35/L$36,"")</f>
        <v>56.472632493483928</v>
      </c>
      <c r="L35" s="627"/>
      <c r="M35" s="570">
        <f>SUM(M32:N34)</f>
        <v>650</v>
      </c>
      <c r="N35" s="570"/>
      <c r="O35" s="64"/>
      <c r="P35" s="627">
        <f>IFERROR(R35/Q$36,"")</f>
        <v>127.73722627737226</v>
      </c>
      <c r="Q35" s="627"/>
      <c r="R35" s="570">
        <f>SUM(R32:S34)</f>
        <v>1400</v>
      </c>
      <c r="S35" s="570"/>
      <c r="T35" s="35"/>
      <c r="V35" s="327"/>
      <c r="W35" s="326"/>
      <c r="X35" s="326"/>
    </row>
    <row r="36" spans="1:25" ht="13.5" hidden="1" customHeight="1" x14ac:dyDescent="0.2">
      <c r="A36" s="65"/>
      <c r="B36" s="66"/>
      <c r="C36" s="66"/>
      <c r="D36" s="66"/>
      <c r="E36" s="66"/>
      <c r="F36" s="67" t="s">
        <v>109</v>
      </c>
      <c r="G36" s="68">
        <f>ROUND(H29*J23/365,2)</f>
        <v>12.05</v>
      </c>
      <c r="H36" s="69" t="s">
        <v>136</v>
      </c>
      <c r="I36" s="70">
        <f>IFERROR(ROUND((H19+H33)/G36,0),0)</f>
        <v>-12</v>
      </c>
      <c r="J36" s="65"/>
      <c r="K36" s="67" t="s">
        <v>109</v>
      </c>
      <c r="L36" s="68">
        <f>ROUND(M29*O23/365,2)</f>
        <v>11.51</v>
      </c>
      <c r="M36" s="69" t="s">
        <v>136</v>
      </c>
      <c r="N36" s="70">
        <f>IFERROR(ROUND((M19+M33)/L36,0),0)</f>
        <v>4</v>
      </c>
      <c r="O36" s="65"/>
      <c r="P36" s="67" t="s">
        <v>109</v>
      </c>
      <c r="Q36" s="68">
        <f>ROUND(R29*T23/365,2)</f>
        <v>10.96</v>
      </c>
      <c r="R36" s="69" t="s">
        <v>136</v>
      </c>
      <c r="S36" s="70">
        <f>IFERROR(ROUND((R19+R33)/Q36,0),0)</f>
        <v>46</v>
      </c>
      <c r="T36" s="71"/>
      <c r="V36" s="327"/>
      <c r="W36" s="326"/>
      <c r="X36" s="326"/>
    </row>
    <row r="37" spans="1:25" s="75" customFormat="1" ht="13.5" hidden="1" customHeight="1" x14ac:dyDescent="0.2">
      <c r="A37" s="65"/>
      <c r="B37" s="66" t="s">
        <v>128</v>
      </c>
      <c r="C37" s="66"/>
      <c r="D37" s="67"/>
      <c r="E37" s="67"/>
      <c r="F37" s="67" t="s">
        <v>103</v>
      </c>
      <c r="G37" s="72">
        <f>IFERROR(ROUND(G36*60-H35,0),"")</f>
        <v>-27</v>
      </c>
      <c r="H37" s="73" t="s">
        <v>137</v>
      </c>
      <c r="I37" s="74" t="str">
        <f>IF(H34=0,"impossible",IF(H34&lt;0,"required",IF(G37&lt;0,"required",IF(I$36&lt;60,"optional","impossible"))))</f>
        <v>required</v>
      </c>
      <c r="J37" s="65"/>
      <c r="K37" s="67" t="s">
        <v>103</v>
      </c>
      <c r="L37" s="72">
        <f>IFERROR(ROUND(L36*60-M35,0),"")</f>
        <v>41</v>
      </c>
      <c r="M37" s="73" t="s">
        <v>137</v>
      </c>
      <c r="N37" s="74" t="str">
        <f>IF(M34=0,"impossible",IF(M34&lt;0,"required",IF(L37&lt;0,"required",IF(N$36&lt;60,"optional","impossible"))))</f>
        <v>optional</v>
      </c>
      <c r="O37" s="65"/>
      <c r="P37" s="67" t="s">
        <v>103</v>
      </c>
      <c r="Q37" s="72">
        <f>IFERROR(ROUND(Q36*60-R35,0),"")</f>
        <v>-742</v>
      </c>
      <c r="R37" s="73" t="s">
        <v>137</v>
      </c>
      <c r="S37" s="74" t="str">
        <f>IF(R34=0,"impossible",IF(R34&lt;0,"required",IF(Q37&lt;0,"required",IF(S$36&lt;60,"optional","impossible"))))</f>
        <v>required</v>
      </c>
      <c r="T37" s="71"/>
      <c r="V37" s="328"/>
      <c r="W37" s="329"/>
      <c r="X37" s="329"/>
    </row>
    <row r="38" spans="1:25" s="75" customFormat="1" ht="13.5" hidden="1" customHeight="1" x14ac:dyDescent="0.2">
      <c r="A38" s="65"/>
      <c r="B38" s="66"/>
      <c r="C38" s="66"/>
      <c r="D38" s="67"/>
      <c r="E38" s="67"/>
      <c r="F38" s="67" t="s">
        <v>125</v>
      </c>
      <c r="G38" s="72">
        <f>IF(I37="optional",0,IF(I36&gt;=60,H34,IF(H34&lt;0,H34,IF(ABS(G37)&gt;H34,H34,ABS(G37)))))</f>
        <v>27</v>
      </c>
      <c r="H38" s="67" t="s">
        <v>126</v>
      </c>
      <c r="I38" s="72">
        <f>H34</f>
        <v>900</v>
      </c>
      <c r="J38" s="65"/>
      <c r="K38" s="67" t="s">
        <v>125</v>
      </c>
      <c r="L38" s="72">
        <f>IF(N37="optional",0,IF(N$36&gt;=60,M34,IF(M34&lt;0,M34,IF(ABS(L37)&gt;M34,M34,ABS(L37)))))</f>
        <v>0</v>
      </c>
      <c r="M38" s="67" t="s">
        <v>126</v>
      </c>
      <c r="N38" s="72">
        <f>M34</f>
        <v>600</v>
      </c>
      <c r="O38" s="65"/>
      <c r="P38" s="67" t="s">
        <v>125</v>
      </c>
      <c r="Q38" s="72">
        <f>IF(S37="optional",0,IF(S$36&gt;=60,R34,IF(R34&lt;0,R34,IF(ABS(Q37)&gt;R34,R34,ABS(Q37)))))</f>
        <v>742</v>
      </c>
      <c r="R38" s="67" t="s">
        <v>126</v>
      </c>
      <c r="S38" s="72">
        <f>R34</f>
        <v>900</v>
      </c>
      <c r="T38" s="71"/>
      <c r="V38" s="328"/>
      <c r="W38" s="329"/>
      <c r="X38" s="329"/>
    </row>
    <row r="39" spans="1:25" ht="4.5" customHeight="1" x14ac:dyDescent="0.2">
      <c r="A39" s="14"/>
      <c r="B39" s="41"/>
      <c r="C39" s="41"/>
      <c r="D39" s="41"/>
      <c r="E39" s="41"/>
      <c r="G39" s="42"/>
      <c r="H39" s="47"/>
      <c r="I39" s="47"/>
      <c r="J39" s="37"/>
      <c r="L39" s="42"/>
      <c r="M39" s="47"/>
      <c r="N39" s="47"/>
      <c r="O39" s="37"/>
      <c r="P39" s="7"/>
      <c r="Q39" s="42"/>
      <c r="R39" s="47"/>
      <c r="S39" s="47"/>
      <c r="T39" s="38"/>
      <c r="V39" s="327"/>
      <c r="W39" s="326"/>
      <c r="X39" s="326"/>
    </row>
    <row r="40" spans="1:25" ht="13.5" customHeight="1" x14ac:dyDescent="0.2">
      <c r="A40" s="14"/>
      <c r="B40" s="41" t="s">
        <v>139</v>
      </c>
      <c r="C40" s="41"/>
      <c r="D40" s="41"/>
      <c r="E40" s="41"/>
      <c r="G40" s="53" t="str">
        <f>IFERROR(IF(AND(ISNUMBER(H40),(H40*G38)&gt;0),"change sign","transfer in/(out)"),"")</f>
        <v>transfer in/(out)</v>
      </c>
      <c r="H40" s="527">
        <v>-100</v>
      </c>
      <c r="I40" s="527"/>
      <c r="J40" s="76" t="s">
        <v>99</v>
      </c>
      <c r="L40" s="53" t="str">
        <f>IFERROR(IF(AND(ISNUMBER(M40),(M40*L38)&gt;0),"change sign","transfer in/(out)"),"")</f>
        <v>transfer in/(out)</v>
      </c>
      <c r="M40" s="591">
        <v>-300</v>
      </c>
      <c r="N40" s="592"/>
      <c r="O40" s="77"/>
      <c r="P40" s="7"/>
      <c r="Q40" s="53" t="str">
        <f>IFERROR(IF(AND(ISNUMBER(R40),(R40*Q38)&gt;0),"change sign","transfer in/(out)"),"")</f>
        <v>transfer in/(out)</v>
      </c>
      <c r="R40" s="591">
        <v>-750</v>
      </c>
      <c r="S40" s="592"/>
      <c r="T40" s="46"/>
      <c r="W40" s="78"/>
      <c r="X40" s="326"/>
      <c r="Y40" s="78"/>
    </row>
    <row r="41" spans="1:25" ht="4.5" customHeight="1" x14ac:dyDescent="0.2">
      <c r="A41" s="14"/>
      <c r="B41" s="41"/>
      <c r="C41" s="41"/>
      <c r="D41" s="41"/>
      <c r="E41" s="41"/>
      <c r="G41" s="42"/>
      <c r="H41" s="47"/>
      <c r="I41" s="47"/>
      <c r="J41" s="37"/>
      <c r="L41" s="42"/>
      <c r="M41" s="47"/>
      <c r="N41" s="47"/>
      <c r="O41" s="37"/>
      <c r="P41" s="7"/>
      <c r="Q41" s="42"/>
      <c r="R41" s="47"/>
      <c r="S41" s="47"/>
      <c r="T41" s="38"/>
      <c r="V41" s="327"/>
      <c r="W41" s="326"/>
      <c r="X41" s="326"/>
    </row>
    <row r="42" spans="1:25" ht="13.5" customHeight="1" x14ac:dyDescent="0.2">
      <c r="A42" s="14"/>
      <c r="B42" s="54" t="s">
        <v>149</v>
      </c>
      <c r="C42" s="55"/>
      <c r="D42" s="55"/>
      <c r="E42" s="55"/>
      <c r="F42" s="56"/>
      <c r="G42" s="58"/>
      <c r="H42" s="56"/>
      <c r="I42" s="56"/>
      <c r="J42" s="57"/>
      <c r="K42" s="56"/>
      <c r="L42" s="58"/>
      <c r="M42" s="56"/>
      <c r="N42" s="56"/>
      <c r="O42" s="56"/>
      <c r="P42" s="56"/>
      <c r="Q42" s="58"/>
      <c r="R42" s="56"/>
      <c r="S42" s="56"/>
      <c r="T42" s="35"/>
      <c r="V42" s="327"/>
      <c r="W42" s="326"/>
      <c r="X42" s="326"/>
    </row>
    <row r="43" spans="1:25" ht="13.5" customHeight="1" x14ac:dyDescent="0.2">
      <c r="A43" s="14"/>
      <c r="B43" s="60" t="s">
        <v>141</v>
      </c>
      <c r="C43" s="55"/>
      <c r="D43" s="55"/>
      <c r="E43" s="55"/>
      <c r="F43" s="56"/>
      <c r="G43" s="58"/>
      <c r="H43" s="625">
        <f>H$19</f>
        <v>250</v>
      </c>
      <c r="I43" s="625"/>
      <c r="J43" s="57"/>
      <c r="K43" s="61"/>
      <c r="L43" s="62"/>
      <c r="M43" s="625">
        <f>M$19</f>
        <v>650</v>
      </c>
      <c r="N43" s="625"/>
      <c r="O43" s="61"/>
      <c r="P43" s="61"/>
      <c r="Q43" s="62"/>
      <c r="R43" s="625">
        <f>R$19</f>
        <v>500</v>
      </c>
      <c r="S43" s="625"/>
      <c r="T43" s="35"/>
      <c r="V43" s="327"/>
      <c r="W43" s="326"/>
      <c r="X43" s="326"/>
    </row>
    <row r="44" spans="1:25" ht="13.5" customHeight="1" x14ac:dyDescent="0.2">
      <c r="A44" s="14"/>
      <c r="B44" s="63" t="s">
        <v>142</v>
      </c>
      <c r="C44" s="55"/>
      <c r="D44" s="55"/>
      <c r="E44" s="55"/>
      <c r="F44" s="56"/>
      <c r="G44" s="79"/>
      <c r="H44" s="586">
        <f>H33</f>
        <v>-400</v>
      </c>
      <c r="I44" s="586"/>
      <c r="J44" s="57"/>
      <c r="K44" s="56"/>
      <c r="L44" s="58"/>
      <c r="M44" s="586">
        <f>M33</f>
        <v>-600</v>
      </c>
      <c r="N44" s="586"/>
      <c r="O44" s="56"/>
      <c r="P44" s="56"/>
      <c r="Q44" s="58"/>
      <c r="R44" s="586">
        <f>R33</f>
        <v>0</v>
      </c>
      <c r="S44" s="586"/>
      <c r="T44" s="38"/>
      <c r="V44" s="327"/>
      <c r="W44" s="326"/>
      <c r="X44" s="326"/>
    </row>
    <row r="45" spans="1:25" ht="13.5" customHeight="1" x14ac:dyDescent="0.2">
      <c r="A45" s="14"/>
      <c r="B45" s="63" t="s">
        <v>143</v>
      </c>
      <c r="C45" s="55"/>
      <c r="D45" s="55"/>
      <c r="E45" s="55"/>
      <c r="F45" s="56"/>
      <c r="G45" s="79"/>
      <c r="H45" s="586">
        <f>IFERROR(ROUND(H34+H40,0),"")</f>
        <v>800</v>
      </c>
      <c r="I45" s="586"/>
      <c r="J45" s="57"/>
      <c r="K45" s="56"/>
      <c r="L45" s="58"/>
      <c r="M45" s="628">
        <f>IFERROR(ROUND(M34+M40,0),"")</f>
        <v>300</v>
      </c>
      <c r="N45" s="628"/>
      <c r="O45" s="56"/>
      <c r="P45" s="56"/>
      <c r="Q45" s="58"/>
      <c r="R45" s="628">
        <f>IFERROR(ROUND(R34+R40,0),"")</f>
        <v>150</v>
      </c>
      <c r="S45" s="628"/>
      <c r="T45" s="38"/>
      <c r="V45" s="327"/>
      <c r="W45" s="326"/>
      <c r="X45" s="326"/>
    </row>
    <row r="46" spans="1:25" ht="13.5" customHeight="1" x14ac:dyDescent="0.2">
      <c r="A46" s="14"/>
      <c r="B46" s="528" t="s">
        <v>140</v>
      </c>
      <c r="C46" s="528"/>
      <c r="D46" s="528"/>
      <c r="E46" s="528"/>
      <c r="F46" s="627">
        <f>IFERROR(H46/G$36,"")</f>
        <v>53.941908713692946</v>
      </c>
      <c r="G46" s="627"/>
      <c r="H46" s="593">
        <f>SUM(H43:I45)</f>
        <v>650</v>
      </c>
      <c r="I46" s="593"/>
      <c r="J46" s="80"/>
      <c r="K46" s="627">
        <f>IFERROR(M46/L$36,"")</f>
        <v>30.408340573414424</v>
      </c>
      <c r="L46" s="627"/>
      <c r="M46" s="593">
        <f>SUM(M43:N45)</f>
        <v>350</v>
      </c>
      <c r="N46" s="593"/>
      <c r="O46" s="80"/>
      <c r="P46" s="627">
        <f>IFERROR(R46/Q$36,"")</f>
        <v>59.306569343065689</v>
      </c>
      <c r="Q46" s="627"/>
      <c r="R46" s="593">
        <f>SUM(R43:S45)</f>
        <v>650</v>
      </c>
      <c r="S46" s="593"/>
      <c r="T46" s="35"/>
      <c r="V46" s="327"/>
      <c r="W46" s="326"/>
      <c r="X46" s="326"/>
    </row>
    <row r="47" spans="1:25" s="75" customFormat="1" ht="13.5" hidden="1" customHeight="1" x14ac:dyDescent="0.2">
      <c r="A47" s="65"/>
      <c r="B47" s="66" t="s">
        <v>129</v>
      </c>
      <c r="C47" s="66"/>
      <c r="D47" s="67"/>
      <c r="E47" s="66"/>
      <c r="F47" s="67" t="s">
        <v>103</v>
      </c>
      <c r="G47" s="72">
        <f>IFERROR(ROUND(G36*60-H46,0),"")</f>
        <v>73</v>
      </c>
      <c r="H47" s="73" t="s">
        <v>127</v>
      </c>
      <c r="I47" s="74" t="str">
        <f>IF(H45=0,"impossible",IF(H45&lt;0,"required",IF(G47&lt;0,"required",IF(I36&lt;60,"optional","impossible"))))</f>
        <v>optional</v>
      </c>
      <c r="J47" s="65"/>
      <c r="K47" s="67" t="s">
        <v>103</v>
      </c>
      <c r="L47" s="72">
        <f>IFERROR(ROUND(L36*60-M46,0),"")</f>
        <v>341</v>
      </c>
      <c r="M47" s="73" t="s">
        <v>127</v>
      </c>
      <c r="N47" s="74" t="str">
        <f>IF(M45=0,"impossible",IF(M45&lt;0,"required",IF(L47&lt;0,"required",IF(N$36&lt;60,"optional","impossible"))))</f>
        <v>optional</v>
      </c>
      <c r="O47" s="65"/>
      <c r="P47" s="67" t="s">
        <v>103</v>
      </c>
      <c r="Q47" s="72">
        <f>IFERROR(ROUND(Q36*60-R46,0),"")</f>
        <v>8</v>
      </c>
      <c r="R47" s="73" t="s">
        <v>127</v>
      </c>
      <c r="S47" s="74" t="str">
        <f>IF(R45=0,"impossible",IF(R45&lt;0,"required",IF(Q47&lt;0,"required",IF(S$36&lt;60,"optional","impossible"))))</f>
        <v>optional</v>
      </c>
      <c r="T47" s="71"/>
      <c r="V47" s="328"/>
      <c r="W47" s="329"/>
      <c r="X47" s="329"/>
    </row>
    <row r="48" spans="1:25" s="75" customFormat="1" ht="13.5" hidden="1" customHeight="1" x14ac:dyDescent="0.2">
      <c r="A48" s="65"/>
      <c r="B48" s="66"/>
      <c r="C48" s="66"/>
      <c r="D48" s="67"/>
      <c r="E48" s="66"/>
      <c r="F48" s="67" t="s">
        <v>125</v>
      </c>
      <c r="G48" s="72">
        <f>IF(I47="optional",0,IF(I36&gt;=60,H45,IF(H45&lt;0,H45,IF(ABS(G47)&gt;H45,H45,ABS(G47)))))</f>
        <v>0</v>
      </c>
      <c r="H48" s="67" t="s">
        <v>126</v>
      </c>
      <c r="I48" s="72">
        <f>H45</f>
        <v>800</v>
      </c>
      <c r="J48" s="65"/>
      <c r="K48" s="67" t="s">
        <v>125</v>
      </c>
      <c r="L48" s="72">
        <f>IF(N47="optional",0,IF(N$36&gt;=60,M45,IF(M45&lt;0,M45,IF(ABS(L47)&gt;M45,M45,ABS(L47)))))</f>
        <v>0</v>
      </c>
      <c r="M48" s="67" t="s">
        <v>126</v>
      </c>
      <c r="N48" s="72">
        <f>M45</f>
        <v>300</v>
      </c>
      <c r="O48" s="65"/>
      <c r="P48" s="67" t="s">
        <v>125</v>
      </c>
      <c r="Q48" s="72">
        <f>IF(S47="optional",0,IF(S$36&gt;=60,R45,IF(R45&lt;0,R45,IF(ABS(Q47)&gt;R45,R45,ABS(Q47)))))</f>
        <v>0</v>
      </c>
      <c r="R48" s="67" t="s">
        <v>126</v>
      </c>
      <c r="S48" s="72">
        <f>R45</f>
        <v>150</v>
      </c>
      <c r="T48" s="71"/>
      <c r="V48" s="328"/>
      <c r="W48" s="329"/>
      <c r="X48" s="329"/>
    </row>
    <row r="49" spans="1:24" ht="4.5" customHeight="1" x14ac:dyDescent="0.2">
      <c r="A49" s="14"/>
      <c r="B49" s="41"/>
      <c r="C49" s="41"/>
      <c r="D49" s="41"/>
      <c r="E49" s="41"/>
      <c r="G49" s="42"/>
      <c r="H49" s="52"/>
      <c r="I49" s="52"/>
      <c r="J49" s="37"/>
      <c r="L49" s="42"/>
      <c r="M49" s="52"/>
      <c r="N49" s="52"/>
      <c r="O49" s="37"/>
      <c r="P49" s="7"/>
      <c r="Q49" s="42"/>
      <c r="R49" s="52"/>
      <c r="S49" s="52"/>
      <c r="T49" s="38"/>
      <c r="V49" s="327"/>
      <c r="W49" s="326"/>
      <c r="X49" s="326"/>
    </row>
    <row r="50" spans="1:24" ht="13.5" customHeight="1" x14ac:dyDescent="0.2">
      <c r="A50" s="14"/>
      <c r="B50" s="41" t="s">
        <v>150</v>
      </c>
      <c r="C50" s="41"/>
      <c r="D50" s="41"/>
      <c r="E50" s="41"/>
      <c r="F50" s="81"/>
      <c r="G50" s="82"/>
      <c r="H50" s="596"/>
      <c r="I50" s="597"/>
      <c r="J50" s="37"/>
      <c r="K50" s="81"/>
      <c r="L50" s="53" t="str">
        <f>IFERROR(IF(AND(ISNUMBER(M50),(M50*L48)&gt;0),"change sign","transfer in/(out)"),"")</f>
        <v>transfer in/(out)</v>
      </c>
      <c r="M50" s="527">
        <v>-100</v>
      </c>
      <c r="N50" s="527"/>
      <c r="P50" s="81"/>
      <c r="Q50" s="53" t="str">
        <f>IFERROR(IF(AND(ISNUMBER(R50),(R50*Q48)&gt;0),"change sign","transfer in/(out)"),"")</f>
        <v>transfer in/(out)</v>
      </c>
      <c r="R50" s="527"/>
      <c r="S50" s="527"/>
      <c r="T50" s="35"/>
      <c r="V50" s="327"/>
      <c r="W50" s="326"/>
      <c r="X50" s="326"/>
    </row>
    <row r="51" spans="1:24" ht="4.5" customHeight="1" x14ac:dyDescent="0.2">
      <c r="A51" s="14"/>
      <c r="B51" s="41"/>
      <c r="C51" s="41"/>
      <c r="D51" s="41"/>
      <c r="E51" s="41"/>
      <c r="G51" s="42"/>
      <c r="H51" s="52"/>
      <c r="I51" s="52"/>
      <c r="J51" s="37"/>
      <c r="L51" s="42"/>
      <c r="M51" s="52"/>
      <c r="N51" s="52"/>
      <c r="O51" s="37"/>
      <c r="P51" s="7"/>
      <c r="Q51" s="42"/>
      <c r="R51" s="52"/>
      <c r="S51" s="52"/>
      <c r="T51" s="38"/>
      <c r="V51" s="327"/>
      <c r="W51" s="326"/>
      <c r="X51" s="326"/>
    </row>
    <row r="52" spans="1:24" ht="13.5" customHeight="1" x14ac:dyDescent="0.2">
      <c r="A52" s="14"/>
      <c r="B52" s="54" t="s">
        <v>147</v>
      </c>
      <c r="C52" s="55"/>
      <c r="D52" s="55"/>
      <c r="E52" s="55"/>
      <c r="F52" s="56"/>
      <c r="G52" s="58"/>
      <c r="H52" s="56"/>
      <c r="I52" s="56"/>
      <c r="J52" s="57"/>
      <c r="K52" s="56"/>
      <c r="L52" s="58"/>
      <c r="M52" s="56"/>
      <c r="N52" s="56"/>
      <c r="O52" s="56"/>
      <c r="P52" s="56"/>
      <c r="Q52" s="58"/>
      <c r="R52" s="56"/>
      <c r="S52" s="56"/>
      <c r="T52" s="35"/>
      <c r="V52" s="327"/>
      <c r="W52" s="326"/>
      <c r="X52" s="326"/>
    </row>
    <row r="53" spans="1:24" ht="13.5" customHeight="1" x14ac:dyDescent="0.2">
      <c r="A53" s="14"/>
      <c r="B53" s="60" t="s">
        <v>141</v>
      </c>
      <c r="C53" s="55"/>
      <c r="D53" s="55"/>
      <c r="E53" s="55"/>
      <c r="F53" s="56"/>
      <c r="G53" s="58"/>
      <c r="H53" s="625">
        <f>H$19</f>
        <v>250</v>
      </c>
      <c r="I53" s="625"/>
      <c r="J53" s="57"/>
      <c r="K53" s="56"/>
      <c r="L53" s="58"/>
      <c r="M53" s="625">
        <f>M$19</f>
        <v>650</v>
      </c>
      <c r="N53" s="625"/>
      <c r="O53" s="56"/>
      <c r="P53" s="56"/>
      <c r="Q53" s="58"/>
      <c r="R53" s="625">
        <f>R$19</f>
        <v>500</v>
      </c>
      <c r="S53" s="625"/>
      <c r="T53" s="35"/>
      <c r="V53" s="327"/>
      <c r="W53" s="326"/>
      <c r="X53" s="326"/>
    </row>
    <row r="54" spans="1:24" ht="13.5" customHeight="1" x14ac:dyDescent="0.2">
      <c r="A54" s="14"/>
      <c r="B54" s="63" t="s">
        <v>142</v>
      </c>
      <c r="C54" s="55"/>
      <c r="D54" s="55"/>
      <c r="E54" s="55"/>
      <c r="F54" s="56"/>
      <c r="G54" s="79"/>
      <c r="H54" s="586">
        <f>H44</f>
        <v>-400</v>
      </c>
      <c r="I54" s="586"/>
      <c r="J54" s="57"/>
      <c r="K54" s="56"/>
      <c r="L54" s="58"/>
      <c r="M54" s="586">
        <f>M44</f>
        <v>-600</v>
      </c>
      <c r="N54" s="586"/>
      <c r="O54" s="56"/>
      <c r="P54" s="56"/>
      <c r="Q54" s="58"/>
      <c r="R54" s="586">
        <f>R44</f>
        <v>0</v>
      </c>
      <c r="S54" s="586"/>
      <c r="T54" s="38"/>
      <c r="V54" s="327"/>
      <c r="W54" s="326"/>
      <c r="X54" s="326"/>
    </row>
    <row r="55" spans="1:24" ht="13.5" customHeight="1" x14ac:dyDescent="0.2">
      <c r="A55" s="14"/>
      <c r="B55" s="63" t="s">
        <v>143</v>
      </c>
      <c r="C55" s="55"/>
      <c r="D55" s="55"/>
      <c r="E55" s="55"/>
      <c r="F55" s="56"/>
      <c r="G55" s="79"/>
      <c r="H55" s="586">
        <f>IFERROR(H45+H50,"")</f>
        <v>800</v>
      </c>
      <c r="I55" s="586"/>
      <c r="J55" s="57"/>
      <c r="K55" s="56"/>
      <c r="L55" s="58"/>
      <c r="M55" s="586">
        <f>IFERROR(M45+M50,"")</f>
        <v>200</v>
      </c>
      <c r="N55" s="586"/>
      <c r="O55" s="56"/>
      <c r="P55" s="56"/>
      <c r="Q55" s="58"/>
      <c r="R55" s="586">
        <f>IFERROR(R45+R50,"")</f>
        <v>150</v>
      </c>
      <c r="S55" s="586"/>
      <c r="T55" s="38"/>
      <c r="V55" s="327"/>
      <c r="W55" s="326"/>
      <c r="X55" s="326"/>
    </row>
    <row r="56" spans="1:24" ht="13.5" customHeight="1" x14ac:dyDescent="0.2">
      <c r="A56" s="14"/>
      <c r="B56" s="55" t="s">
        <v>116</v>
      </c>
      <c r="C56" s="55"/>
      <c r="D56" s="55"/>
      <c r="E56" s="55"/>
      <c r="F56" s="627">
        <f>IFERROR(H56/G$36,"")</f>
        <v>53.941908713692946</v>
      </c>
      <c r="G56" s="627"/>
      <c r="H56" s="568">
        <f>H46+H50</f>
        <v>650</v>
      </c>
      <c r="I56" s="568"/>
      <c r="J56" s="83"/>
      <c r="K56" s="627">
        <f>IFERROR(M56/L36,"")</f>
        <v>21.720243266724587</v>
      </c>
      <c r="L56" s="627"/>
      <c r="M56" s="568">
        <f>M46+M50</f>
        <v>250</v>
      </c>
      <c r="N56" s="568"/>
      <c r="O56" s="64"/>
      <c r="P56" s="627">
        <f>IFERROR(R56/Q36,"")</f>
        <v>59.306569343065689</v>
      </c>
      <c r="Q56" s="627"/>
      <c r="R56" s="568">
        <f>R46+R50</f>
        <v>650</v>
      </c>
      <c r="S56" s="568"/>
      <c r="T56" s="35"/>
      <c r="V56" s="327"/>
      <c r="W56" s="326"/>
      <c r="X56" s="326"/>
    </row>
    <row r="57" spans="1:24" ht="4.5" customHeight="1" x14ac:dyDescent="0.2">
      <c r="A57" s="14"/>
      <c r="B57" s="41"/>
      <c r="C57" s="41"/>
      <c r="D57" s="41"/>
      <c r="E57" s="41"/>
      <c r="P57" s="7"/>
      <c r="Q57" s="7"/>
      <c r="R57" s="7"/>
      <c r="S57" s="7"/>
      <c r="T57" s="35"/>
      <c r="V57" s="327"/>
      <c r="W57" s="326"/>
      <c r="X57" s="326"/>
    </row>
    <row r="58" spans="1:24" s="86" customFormat="1" ht="27" customHeight="1" x14ac:dyDescent="0.2">
      <c r="A58" s="84"/>
      <c r="B58" s="85"/>
      <c r="C58" s="85"/>
      <c r="D58" s="85"/>
      <c r="E58" s="85"/>
      <c r="F58" s="598" t="str">
        <f>IF(ISNUMBER(H40),IF(OR(AND(G38&gt;0,H40*-1&lt;G38),AND(G38&lt;0,H40*-1&gt;I38)),"Choose a transfer of at least "&amp;TEXT((ABS(G38)),"$#,##0;-$#,##0"),IF(OR(AND(G38&gt;0,H40*-1&gt;I38),AND(G38&lt;0,H40*-1&lt;G38)),"Choose a transfer of "&amp;TEXT((ABS(I38)),"$#,##0;-$#,##0")&amp;" or less","")),IFERROR(IF(OR(I37="required",I37="optional"),"Transfer "&amp;IF(G38&lt;0,"in from","out to")&amp;" fund 78 "&amp;I37&amp;": amount "&amp;IF(G38=I38,"should be "&amp;TEXT(ABS(G38),"$#,##0;-$#,##0"),"between "&amp;TEXT(ABS(G38),"$#,##0;-$#,##0")&amp;" and "&amp;TEXT(ABS(I38),"$#,##0;-$#,##0")),""),""))</f>
        <v/>
      </c>
      <c r="G58" s="598"/>
      <c r="H58" s="598"/>
      <c r="I58" s="598"/>
      <c r="K58" s="598" t="str">
        <f>IF(ISNUMBER(M50),IF(OR(AND(L48&gt;0,M50*-1&lt;L48),AND(L48&lt;0,M50*-1&gt;N48)),"Choose a transfer of at least "&amp;TEXT((ABS(L48)),"$#,##0;-$#,##0"),IF(OR(AND(L48&gt;0,M50*-1&gt;N48),AND(L48&lt;0,M50*-1&lt;L48)),"Choose a transfer of "&amp;TEXT((ABS(N48)),"$#,##0;-$#,##0")&amp;" or less","")),IFERROR(IF(OR(N47="required",N47="optional"),"Transfer "&amp;IF(L48&lt;0,"in from","out to")&amp;" fund 78 "&amp;N47&amp;": amount "&amp;IF(L48=N48,"should be "&amp;TEXT(ABS(L48),"$#,##0;-$#,##0"),"between "&amp;TEXT(ABS(L48),"$#,##0;-$#,##0")&amp;" and "&amp;TEXT(ABS(N48),"$#,##0;-$#,##0")),""),""))</f>
        <v/>
      </c>
      <c r="L58" s="598"/>
      <c r="M58" s="598"/>
      <c r="N58" s="598"/>
      <c r="P58" s="598" t="str">
        <f>IF(ISNUMBER(R50),IF(OR(AND(Q48&gt;0,R50*-1&lt;Q48),AND(Q48&lt;0,R50*-1&gt;S48)),"Choose a transfer of at least "&amp;TEXT((ABS(Q48)),"$#,##0;-$#,##0"),IF(OR(AND(Q48&gt;0,R50*-1&gt;S48),AND(Q48&lt;0,R50*-1&lt;Q48)),"Choose a transfer of "&amp;TEXT((ABS(S48)),"$#,##0;-$#,##0")&amp;" or less","")),IFERROR(IF(OR(S47="required",S47="optional"),"Transfer "&amp;IF(Q48&lt;0,"in from","out to")&amp;" fund 78 "&amp;S47&amp;": amount "&amp;IF(Q48=S48,"should be "&amp;TEXT(ABS(Q48),"$#,##0;-$#,##0"),"between "&amp;TEXT(ABS(Q48),"$#,##0;-$#,##0")&amp;" and "&amp;TEXT(ABS(S48),"$#,##0;-$#,##0")),""),""))</f>
        <v>Transfer out to fund 78 optional: amount between $0 and $150</v>
      </c>
      <c r="Q58" s="598"/>
      <c r="R58" s="598"/>
      <c r="S58" s="598"/>
      <c r="T58" s="87"/>
      <c r="V58" s="330"/>
      <c r="W58" s="139"/>
      <c r="X58" s="137"/>
    </row>
    <row r="59" spans="1:24" ht="4.5" customHeight="1" thickBot="1" x14ac:dyDescent="0.25">
      <c r="A59" s="29"/>
      <c r="B59" s="30"/>
      <c r="C59" s="30"/>
      <c r="D59" s="30"/>
      <c r="E59" s="30"/>
      <c r="F59" s="30"/>
      <c r="G59" s="30"/>
      <c r="H59" s="30"/>
      <c r="I59" s="30"/>
      <c r="J59" s="30"/>
      <c r="K59" s="30"/>
      <c r="L59" s="30"/>
      <c r="M59" s="30"/>
      <c r="N59" s="30"/>
      <c r="O59" s="30"/>
      <c r="P59" s="88"/>
      <c r="Q59" s="89"/>
      <c r="R59" s="88"/>
      <c r="S59" s="31"/>
      <c r="T59" s="32"/>
    </row>
    <row r="60" spans="1:24" ht="13.5" customHeight="1" thickBot="1" x14ac:dyDescent="0.25">
      <c r="B60" s="8"/>
      <c r="C60" s="8"/>
      <c r="D60" s="8"/>
      <c r="E60" s="8"/>
      <c r="F60" s="8"/>
      <c r="G60" s="8"/>
      <c r="H60" s="8"/>
      <c r="I60" s="8"/>
      <c r="J60" s="8"/>
      <c r="K60" s="18"/>
      <c r="L60" s="18"/>
      <c r="M60" s="18"/>
      <c r="N60" s="18"/>
      <c r="O60" s="18"/>
      <c r="P60" s="33"/>
      <c r="Q60" s="34"/>
      <c r="R60" s="34"/>
      <c r="S60" s="34"/>
      <c r="T60" s="34"/>
      <c r="V60" s="326"/>
      <c r="W60" s="326"/>
      <c r="X60" s="326"/>
    </row>
    <row r="61" spans="1:24" ht="21.75" customHeight="1" x14ac:dyDescent="0.2">
      <c r="A61" s="11"/>
      <c r="B61" s="403" t="s">
        <v>238</v>
      </c>
      <c r="C61" s="12" t="str">
        <f>IF(Q14="","Complete Step 2 first",Control!C6&amp;" Sales Projections &amp; Customer Types")</f>
        <v>FY24 Sales Projections &amp; Customer Types</v>
      </c>
      <c r="D61" s="12"/>
      <c r="E61" s="12"/>
      <c r="F61" s="12"/>
      <c r="G61" s="12"/>
      <c r="H61" s="12"/>
      <c r="I61" s="12"/>
      <c r="J61" s="12"/>
      <c r="K61" s="12"/>
      <c r="L61" s="12"/>
      <c r="M61" s="12"/>
      <c r="N61" s="12"/>
      <c r="O61" s="12"/>
      <c r="P61" s="12"/>
      <c r="Q61" s="560" t="str">
        <f>IF(OR(AND(SampleSwitch="yes",ISBLANK(F66)),ISBLANK(F64),L65&lt;&gt;"",AND(SUM(L64:S64)=0,SUM(L66:S66)=0),Q14&lt;&gt;"Step Complete"),"","Step Complete")</f>
        <v>Step Complete</v>
      </c>
      <c r="R61" s="560"/>
      <c r="S61" s="560"/>
      <c r="T61" s="13"/>
      <c r="V61" s="326"/>
      <c r="W61" s="326"/>
      <c r="X61" s="326"/>
    </row>
    <row r="62" spans="1:24" ht="4.5" customHeight="1" x14ac:dyDescent="0.2">
      <c r="A62" s="14"/>
      <c r="B62" s="90"/>
      <c r="C62" s="90"/>
      <c r="D62" s="90"/>
      <c r="E62" s="90"/>
      <c r="F62" s="90"/>
      <c r="G62" s="90"/>
      <c r="H62" s="90"/>
      <c r="I62" s="90"/>
      <c r="J62" s="90"/>
      <c r="K62" s="90"/>
      <c r="L62" s="90"/>
      <c r="M62" s="90"/>
      <c r="N62" s="90"/>
      <c r="O62" s="90"/>
      <c r="P62" s="90"/>
      <c r="Q62" s="90"/>
      <c r="R62" s="90"/>
      <c r="S62" s="90"/>
      <c r="T62" s="17"/>
      <c r="V62" s="326"/>
      <c r="W62" s="326"/>
      <c r="X62" s="326"/>
    </row>
    <row r="63" spans="1:24" ht="25.5" customHeight="1" x14ac:dyDescent="0.2">
      <c r="A63" s="14"/>
      <c r="D63" s="8"/>
      <c r="E63" s="8"/>
      <c r="H63" s="8"/>
      <c r="I63" s="8"/>
      <c r="J63" s="8"/>
      <c r="L63" s="571" t="s">
        <v>102</v>
      </c>
      <c r="M63" s="571"/>
      <c r="N63" s="571" t="s">
        <v>93</v>
      </c>
      <c r="O63" s="571"/>
      <c r="P63" s="622" t="s">
        <v>94</v>
      </c>
      <c r="Q63" s="622"/>
      <c r="R63" s="622" t="s">
        <v>95</v>
      </c>
      <c r="S63" s="622"/>
      <c r="T63" s="35"/>
      <c r="V63" s="326"/>
      <c r="W63" s="326"/>
      <c r="X63" s="326"/>
    </row>
    <row r="64" spans="1:24" ht="13.5" customHeight="1" x14ac:dyDescent="0.2">
      <c r="A64" s="14"/>
      <c r="B64" s="8"/>
      <c r="C64" s="8"/>
      <c r="E64" s="18" t="str">
        <f>IF(SampleSwitch="No","Total # of units to be sold:","Total expected inventory sales in $:")</f>
        <v>Total # of units to be sold:</v>
      </c>
      <c r="F64" s="531">
        <v>1000</v>
      </c>
      <c r="G64" s="532"/>
      <c r="H64" s="8"/>
      <c r="I64" s="8"/>
      <c r="J64" s="8"/>
      <c r="K64" s="18" t="str">
        <f>"% of sales per customer type:"</f>
        <v>% of sales per customer type:</v>
      </c>
      <c r="L64" s="624">
        <v>0.4</v>
      </c>
      <c r="M64" s="624"/>
      <c r="N64" s="624">
        <v>0.3</v>
      </c>
      <c r="O64" s="624"/>
      <c r="P64" s="624">
        <v>0.2</v>
      </c>
      <c r="Q64" s="624"/>
      <c r="R64" s="637">
        <v>0.1</v>
      </c>
      <c r="S64" s="638"/>
      <c r="T64" s="35"/>
      <c r="V64" s="34"/>
      <c r="W64" s="326"/>
      <c r="X64" s="326"/>
    </row>
    <row r="65" spans="1:25" ht="13.5" customHeight="1" x14ac:dyDescent="0.2">
      <c r="A65" s="14"/>
      <c r="B65" s="8"/>
      <c r="C65" s="8"/>
      <c r="E65" s="18"/>
      <c r="F65" s="91"/>
      <c r="G65" s="91"/>
      <c r="H65" s="8"/>
      <c r="I65" s="525" t="s">
        <v>104</v>
      </c>
      <c r="J65" s="525"/>
      <c r="K65" s="525"/>
      <c r="L65" s="535" t="str">
        <f>IF(AND(SUM(L64:S64)&gt;0,SUM(L66:S66)&gt;0),"Use % of sales OR # of sales, not both",IF(AND(SUM(L64:S64)&lt;&gt;0,SUM(I64:S64)&lt;&gt;1),"Percentages must total to 100%",IF(AND(SUM(I66:S66)&lt;&gt;0,SUM(L66:S66)&lt;&gt;F64),"Total does not match total # of units listed","")))</f>
        <v/>
      </c>
      <c r="M65" s="535"/>
      <c r="N65" s="535"/>
      <c r="O65" s="535"/>
      <c r="P65" s="535"/>
      <c r="Q65" s="535"/>
      <c r="R65" s="535"/>
      <c r="S65" s="535"/>
      <c r="T65" s="35"/>
      <c r="V65" s="326"/>
      <c r="W65" s="326"/>
      <c r="X65" s="326"/>
    </row>
    <row r="66" spans="1:25" ht="13.5" customHeight="1" x14ac:dyDescent="0.2">
      <c r="A66" s="14"/>
      <c r="B66" s="8"/>
      <c r="C66" s="8"/>
      <c r="E66" s="92" t="str">
        <f>IF(SampleSwitch="no","","Total inventory purchases, in $")</f>
        <v/>
      </c>
      <c r="F66" s="599"/>
      <c r="G66" s="599"/>
      <c r="H66" s="8"/>
      <c r="I66" s="8"/>
      <c r="J66" s="8"/>
      <c r="K66" s="18" t="str">
        <f>"# of sales per customer type:"</f>
        <v># of sales per customer type:</v>
      </c>
      <c r="L66" s="531"/>
      <c r="M66" s="532"/>
      <c r="N66" s="639"/>
      <c r="O66" s="639"/>
      <c r="P66" s="639"/>
      <c r="Q66" s="639"/>
      <c r="R66" s="531"/>
      <c r="S66" s="532"/>
      <c r="T66" s="35"/>
      <c r="V66" s="326"/>
      <c r="W66" s="326"/>
      <c r="X66" s="326"/>
    </row>
    <row r="67" spans="1:25" ht="13.5" hidden="1" customHeight="1" x14ac:dyDescent="0.2">
      <c r="A67" s="65"/>
      <c r="B67" s="93"/>
      <c r="C67" s="93"/>
      <c r="D67" s="65"/>
      <c r="E67" s="94"/>
      <c r="F67" s="73"/>
      <c r="G67" s="73"/>
      <c r="H67" s="93"/>
      <c r="I67" s="93"/>
      <c r="J67" s="93"/>
      <c r="K67" s="94" t="s">
        <v>105</v>
      </c>
      <c r="L67" s="623">
        <f>IFERROR(IF(ISNUMBER(L64),L64,IF(ISNUMBER(L66),L66/$F$64,"")),"")</f>
        <v>0.4</v>
      </c>
      <c r="M67" s="623"/>
      <c r="N67" s="623">
        <f>IFERROR(IF(ISNUMBER(N64),N64,IF(ISNUMBER(N66),N66/$F$64,"")),"")</f>
        <v>0.3</v>
      </c>
      <c r="O67" s="623"/>
      <c r="P67" s="623">
        <f>IFERROR(IF(ISNUMBER(P64),P64,IF(ISNUMBER(P66),P66/$F$64,"")),"")</f>
        <v>0.2</v>
      </c>
      <c r="Q67" s="623"/>
      <c r="R67" s="623">
        <f>IFERROR(IF(ISNUMBER(R64),R64,IF(ISNUMBER(R66),R66/$F$64,"")),"")</f>
        <v>0.1</v>
      </c>
      <c r="S67" s="623"/>
      <c r="T67" s="71"/>
      <c r="V67" s="326"/>
      <c r="W67" s="326"/>
      <c r="X67" s="326"/>
    </row>
    <row r="68" spans="1:25" ht="4.5" customHeight="1" thickBot="1" x14ac:dyDescent="0.25">
      <c r="A68" s="29"/>
      <c r="B68" s="30"/>
      <c r="C68" s="30"/>
      <c r="D68" s="30"/>
      <c r="E68" s="30"/>
      <c r="F68" s="30"/>
      <c r="G68" s="30"/>
      <c r="H68" s="30"/>
      <c r="I68" s="30"/>
      <c r="J68" s="30"/>
      <c r="K68" s="30"/>
      <c r="L68" s="30"/>
      <c r="M68" s="30"/>
      <c r="N68" s="30"/>
      <c r="O68" s="30"/>
      <c r="P68" s="88"/>
      <c r="Q68" s="89"/>
      <c r="R68" s="88"/>
      <c r="S68" s="31"/>
      <c r="T68" s="32"/>
    </row>
    <row r="69" spans="1:25" ht="13.5" thickBot="1" x14ac:dyDescent="0.25">
      <c r="B69" s="8"/>
      <c r="C69" s="8"/>
      <c r="D69" s="8"/>
      <c r="E69" s="8"/>
      <c r="F69" s="8"/>
      <c r="G69" s="8"/>
      <c r="H69" s="8"/>
      <c r="I69" s="8"/>
      <c r="J69" s="8"/>
      <c r="K69" s="18"/>
      <c r="L69" s="18"/>
      <c r="M69" s="18"/>
      <c r="N69" s="18"/>
      <c r="O69" s="18"/>
      <c r="P69" s="33"/>
      <c r="Q69" s="34"/>
      <c r="R69" s="34"/>
      <c r="S69" s="34"/>
      <c r="T69" s="34"/>
      <c r="V69" s="326"/>
      <c r="W69" s="326"/>
      <c r="X69" s="326"/>
    </row>
    <row r="70" spans="1:25" ht="21.75" customHeight="1" x14ac:dyDescent="0.2">
      <c r="A70" s="11"/>
      <c r="B70" s="403" t="s">
        <v>239</v>
      </c>
      <c r="C70" s="12" t="str">
        <f>IF(Q61="","Complete Step 3 first","Costs &amp; Subsidies Contributing to "&amp;Control!C6&amp;" Rate")</f>
        <v>Costs &amp; Subsidies Contributing to FY24 Rate</v>
      </c>
      <c r="D70" s="12"/>
      <c r="E70" s="12"/>
      <c r="F70" s="12"/>
      <c r="G70" s="12"/>
      <c r="H70" s="12"/>
      <c r="I70" s="12"/>
      <c r="J70" s="12"/>
      <c r="K70" s="12"/>
      <c r="L70" s="12"/>
      <c r="M70" s="12"/>
      <c r="N70" s="12"/>
      <c r="O70" s="12"/>
      <c r="P70" s="12"/>
      <c r="Q70" s="560" t="str">
        <f>IF(AND(L116&lt;&gt;0,Q61="Step Complete"),"Step Complete","")</f>
        <v>Step Complete</v>
      </c>
      <c r="R70" s="560"/>
      <c r="S70" s="560"/>
      <c r="T70" s="13"/>
      <c r="V70" s="650" t="s">
        <v>66</v>
      </c>
      <c r="W70" s="650"/>
      <c r="X70" s="650"/>
    </row>
    <row r="71" spans="1:25" ht="4.5" customHeight="1" x14ac:dyDescent="0.2">
      <c r="A71" s="14"/>
      <c r="B71" s="90"/>
      <c r="C71" s="90"/>
      <c r="D71" s="90"/>
      <c r="E71" s="90"/>
      <c r="F71" s="90"/>
      <c r="G71" s="90"/>
      <c r="H71" s="90"/>
      <c r="I71" s="90"/>
      <c r="J71" s="90"/>
      <c r="K71" s="90"/>
      <c r="L71" s="90"/>
      <c r="M71" s="90"/>
      <c r="N71" s="90"/>
      <c r="O71" s="90"/>
      <c r="P71" s="90"/>
      <c r="Q71" s="90"/>
      <c r="R71" s="90"/>
      <c r="S71" s="90"/>
      <c r="T71" s="17"/>
      <c r="V71" s="650"/>
      <c r="W71" s="650"/>
      <c r="X71" s="650"/>
    </row>
    <row r="72" spans="1:25" x14ac:dyDescent="0.2">
      <c r="A72" s="14"/>
      <c r="B72" s="95"/>
      <c r="C72" s="95"/>
      <c r="D72" s="95"/>
      <c r="E72" s="95"/>
      <c r="F72" s="95"/>
      <c r="G72" s="95"/>
      <c r="H72" s="95"/>
      <c r="I72" s="95"/>
      <c r="J72" s="96"/>
      <c r="K72" s="97"/>
      <c r="L72" s="619" t="s">
        <v>80</v>
      </c>
      <c r="M72" s="619"/>
      <c r="N72" s="97"/>
      <c r="O72" s="97"/>
      <c r="P72" s="98"/>
      <c r="Q72" s="99"/>
      <c r="R72" s="99"/>
      <c r="S72" s="99"/>
      <c r="T72" s="22"/>
      <c r="V72" s="650"/>
      <c r="W72" s="650"/>
      <c r="X72" s="650"/>
    </row>
    <row r="73" spans="1:25" x14ac:dyDescent="0.2">
      <c r="A73" s="14"/>
      <c r="B73" s="100" t="str">
        <f>IF(SampleSwitch="Yes","Overhead Costs","")</f>
        <v/>
      </c>
      <c r="C73" s="95"/>
      <c r="D73" s="95"/>
      <c r="E73" s="95"/>
      <c r="F73" s="95"/>
      <c r="G73" s="95"/>
      <c r="H73" s="95"/>
      <c r="I73" s="95"/>
      <c r="J73" s="96"/>
      <c r="K73" s="101" t="s">
        <v>27</v>
      </c>
      <c r="L73" s="620" t="str">
        <f>Control!C6</f>
        <v>FY24</v>
      </c>
      <c r="M73" s="620"/>
      <c r="N73" s="102" t="s">
        <v>79</v>
      </c>
      <c r="O73" s="101"/>
      <c r="P73" s="99"/>
      <c r="Q73" s="99"/>
      <c r="R73" s="99"/>
      <c r="S73" s="99"/>
      <c r="T73" s="22"/>
      <c r="V73" s="650"/>
      <c r="W73" s="650"/>
      <c r="X73" s="650"/>
    </row>
    <row r="74" spans="1:25" x14ac:dyDescent="0.2">
      <c r="A74" s="14"/>
      <c r="B74" s="502" t="s">
        <v>77</v>
      </c>
      <c r="C74" s="502"/>
      <c r="D74" s="502"/>
      <c r="E74" s="502"/>
      <c r="F74" s="502"/>
      <c r="G74" s="502"/>
      <c r="H74" s="502"/>
      <c r="I74" s="502"/>
      <c r="J74" s="502"/>
      <c r="L74" s="621"/>
      <c r="M74" s="621"/>
      <c r="N74" s="589"/>
      <c r="O74" s="589"/>
      <c r="P74" s="589"/>
      <c r="Q74" s="589"/>
      <c r="R74" s="589"/>
      <c r="S74" s="589"/>
      <c r="T74" s="22"/>
      <c r="V74" s="651"/>
      <c r="W74" s="651"/>
      <c r="X74" s="651"/>
    </row>
    <row r="75" spans="1:25" x14ac:dyDescent="0.2">
      <c r="A75" s="14"/>
      <c r="B75" s="119" t="s">
        <v>16</v>
      </c>
      <c r="C75" s="119"/>
      <c r="D75" s="283"/>
      <c r="E75" s="283"/>
      <c r="F75" s="283"/>
      <c r="G75" s="283"/>
      <c r="H75" s="283"/>
      <c r="I75" s="283"/>
      <c r="J75" s="284"/>
      <c r="K75" s="285">
        <v>400000</v>
      </c>
      <c r="L75" s="519"/>
      <c r="M75" s="520"/>
      <c r="N75" s="654"/>
      <c r="O75" s="655"/>
      <c r="P75" s="655"/>
      <c r="Q75" s="655"/>
      <c r="R75" s="655"/>
      <c r="S75" s="656"/>
      <c r="T75" s="22"/>
      <c r="V75" s="331" t="s">
        <v>39</v>
      </c>
      <c r="W75" s="332" t="s">
        <v>37</v>
      </c>
      <c r="X75" s="332" t="s">
        <v>38</v>
      </c>
    </row>
    <row r="76" spans="1:25" x14ac:dyDescent="0.2">
      <c r="A76" s="14"/>
      <c r="B76" s="119" t="s">
        <v>15</v>
      </c>
      <c r="C76" s="119"/>
      <c r="D76" s="283"/>
      <c r="E76" s="283"/>
      <c r="F76" s="283"/>
      <c r="G76" s="283"/>
      <c r="H76" s="283"/>
      <c r="I76" s="283"/>
      <c r="J76" s="284"/>
      <c r="K76" s="285">
        <v>400290</v>
      </c>
      <c r="L76" s="519">
        <v>5000</v>
      </c>
      <c r="M76" s="520"/>
      <c r="N76" s="652"/>
      <c r="O76" s="589"/>
      <c r="P76" s="589"/>
      <c r="Q76" s="589"/>
      <c r="R76" s="589"/>
      <c r="S76" s="653"/>
      <c r="T76" s="22"/>
      <c r="V76" s="5"/>
      <c r="W76" s="2"/>
      <c r="X76" s="3"/>
    </row>
    <row r="77" spans="1:25" x14ac:dyDescent="0.2">
      <c r="A77" s="14"/>
      <c r="B77" s="119" t="s">
        <v>18</v>
      </c>
      <c r="C77" s="119"/>
      <c r="D77" s="283"/>
      <c r="E77" s="283"/>
      <c r="F77" s="283"/>
      <c r="G77" s="283"/>
      <c r="H77" s="283"/>
      <c r="I77" s="283"/>
      <c r="J77" s="284"/>
      <c r="K77" s="285">
        <v>402500</v>
      </c>
      <c r="L77" s="519"/>
      <c r="M77" s="520"/>
      <c r="N77" s="652"/>
      <c r="O77" s="589"/>
      <c r="P77" s="589"/>
      <c r="Q77" s="589"/>
      <c r="R77" s="589"/>
      <c r="S77" s="653"/>
      <c r="T77" s="22"/>
      <c r="V77" s="5"/>
      <c r="W77" s="2"/>
      <c r="X77" s="3"/>
    </row>
    <row r="78" spans="1:25" x14ac:dyDescent="0.2">
      <c r="A78" s="14"/>
      <c r="B78" s="119" t="s">
        <v>19</v>
      </c>
      <c r="C78" s="119"/>
      <c r="D78" s="283"/>
      <c r="E78" s="283"/>
      <c r="F78" s="283"/>
      <c r="G78" s="283"/>
      <c r="H78" s="283"/>
      <c r="I78" s="283"/>
      <c r="J78" s="284"/>
      <c r="K78" s="285">
        <v>405000</v>
      </c>
      <c r="L78" s="519"/>
      <c r="M78" s="520"/>
      <c r="N78" s="652"/>
      <c r="O78" s="589"/>
      <c r="P78" s="589"/>
      <c r="Q78" s="589"/>
      <c r="R78" s="589"/>
      <c r="S78" s="653"/>
      <c r="T78" s="22"/>
      <c r="V78" s="5"/>
      <c r="W78" s="2"/>
      <c r="X78" s="3"/>
    </row>
    <row r="79" spans="1:25" x14ac:dyDescent="0.2">
      <c r="A79" s="14"/>
      <c r="B79" s="119" t="s">
        <v>20</v>
      </c>
      <c r="C79" s="119"/>
      <c r="D79" s="283"/>
      <c r="E79" s="283"/>
      <c r="F79" s="283"/>
      <c r="G79" s="283"/>
      <c r="H79" s="283"/>
      <c r="I79" s="283"/>
      <c r="J79" s="284"/>
      <c r="K79" s="285">
        <v>402750</v>
      </c>
      <c r="L79" s="519"/>
      <c r="M79" s="520"/>
      <c r="N79" s="652"/>
      <c r="O79" s="589"/>
      <c r="P79" s="589"/>
      <c r="Q79" s="589"/>
      <c r="R79" s="589"/>
      <c r="S79" s="653"/>
      <c r="T79" s="22"/>
      <c r="V79" s="1"/>
      <c r="W79" s="2"/>
      <c r="X79" s="3"/>
      <c r="Y79" s="103"/>
    </row>
    <row r="80" spans="1:25" x14ac:dyDescent="0.2">
      <c r="A80" s="14"/>
      <c r="B80" s="119" t="s">
        <v>21</v>
      </c>
      <c r="C80" s="119"/>
      <c r="D80" s="283"/>
      <c r="E80" s="283"/>
      <c r="F80" s="283"/>
      <c r="G80" s="283"/>
      <c r="H80" s="283"/>
      <c r="I80" s="283"/>
      <c r="J80" s="284"/>
      <c r="K80" s="285">
        <v>405150</v>
      </c>
      <c r="L80" s="519"/>
      <c r="M80" s="520"/>
      <c r="N80" s="652"/>
      <c r="O80" s="589"/>
      <c r="P80" s="589"/>
      <c r="Q80" s="589"/>
      <c r="R80" s="589"/>
      <c r="S80" s="653"/>
      <c r="T80" s="22"/>
      <c r="V80" s="1"/>
      <c r="W80" s="2"/>
      <c r="X80" s="3"/>
    </row>
    <row r="81" spans="1:25" x14ac:dyDescent="0.2">
      <c r="A81" s="14"/>
      <c r="B81" s="119" t="s">
        <v>17</v>
      </c>
      <c r="C81" s="119"/>
      <c r="D81" s="283"/>
      <c r="E81" s="283"/>
      <c r="F81" s="283"/>
      <c r="G81" s="283"/>
      <c r="H81" s="283"/>
      <c r="I81" s="283"/>
      <c r="J81" s="284"/>
      <c r="K81" s="285">
        <v>402200</v>
      </c>
      <c r="L81" s="519"/>
      <c r="M81" s="520"/>
      <c r="N81" s="652"/>
      <c r="O81" s="589"/>
      <c r="P81" s="589"/>
      <c r="Q81" s="589"/>
      <c r="R81" s="589"/>
      <c r="S81" s="653"/>
      <c r="T81" s="22"/>
      <c r="V81" s="4"/>
      <c r="W81" s="2"/>
      <c r="X81" s="3"/>
    </row>
    <row r="82" spans="1:25" x14ac:dyDescent="0.2">
      <c r="A82" s="14"/>
      <c r="B82" s="281" t="s">
        <v>9</v>
      </c>
      <c r="C82" s="281"/>
      <c r="D82" s="281"/>
      <c r="E82" s="281"/>
      <c r="F82" s="281"/>
      <c r="G82" s="281"/>
      <c r="H82" s="281"/>
      <c r="I82" s="281"/>
      <c r="J82" s="281"/>
      <c r="K82" s="282">
        <v>407500</v>
      </c>
      <c r="L82" s="517"/>
      <c r="M82" s="518"/>
      <c r="N82" s="652"/>
      <c r="O82" s="589"/>
      <c r="P82" s="589"/>
      <c r="Q82" s="589"/>
      <c r="R82" s="589"/>
      <c r="S82" s="653"/>
      <c r="T82" s="22"/>
      <c r="V82" s="1"/>
      <c r="W82" s="2"/>
      <c r="X82" s="3"/>
      <c r="Y82" s="103"/>
    </row>
    <row r="83" spans="1:25" x14ac:dyDescent="0.2">
      <c r="A83" s="14"/>
      <c r="B83" s="286" t="s">
        <v>23</v>
      </c>
      <c r="C83" s="107"/>
      <c r="D83" s="107"/>
      <c r="E83" s="107"/>
      <c r="F83" s="107"/>
      <c r="G83" s="107"/>
      <c r="H83" s="107"/>
      <c r="I83" s="107"/>
      <c r="J83" s="107"/>
      <c r="K83" s="293"/>
      <c r="L83" s="617">
        <f>SUM(L75:L82)</f>
        <v>5000</v>
      </c>
      <c r="M83" s="617"/>
      <c r="N83" s="537"/>
      <c r="O83" s="537"/>
      <c r="P83" s="537"/>
      <c r="Q83" s="537"/>
      <c r="R83" s="537"/>
      <c r="S83" s="537"/>
      <c r="T83" s="22"/>
      <c r="V83" s="1"/>
      <c r="W83" s="2"/>
      <c r="X83" s="3"/>
      <c r="Y83" s="106"/>
    </row>
    <row r="84" spans="1:25" x14ac:dyDescent="0.2">
      <c r="A84" s="14"/>
      <c r="B84" s="283" t="s">
        <v>22</v>
      </c>
      <c r="C84" s="283"/>
      <c r="D84" s="283"/>
      <c r="E84" s="283"/>
      <c r="F84" s="283"/>
      <c r="G84" s="283"/>
      <c r="H84" s="283"/>
      <c r="I84" s="283"/>
      <c r="J84" s="288" t="str">
        <f>Control!$C$6</f>
        <v>FY24</v>
      </c>
      <c r="K84" s="289"/>
      <c r="L84" s="618"/>
      <c r="M84" s="618"/>
      <c r="N84" s="537"/>
      <c r="O84" s="537"/>
      <c r="P84" s="537"/>
      <c r="Q84" s="537"/>
      <c r="R84" s="537"/>
      <c r="S84" s="537"/>
      <c r="T84" s="22"/>
      <c r="V84" s="1"/>
      <c r="W84" s="2"/>
      <c r="X84" s="3"/>
    </row>
    <row r="85" spans="1:25" x14ac:dyDescent="0.2">
      <c r="A85" s="14"/>
      <c r="B85" s="290" t="s">
        <v>16</v>
      </c>
      <c r="C85" s="290"/>
      <c r="D85" s="290"/>
      <c r="E85" s="290"/>
      <c r="F85" s="290"/>
      <c r="G85" s="290"/>
      <c r="H85" s="290"/>
      <c r="I85" s="290"/>
      <c r="J85" s="291">
        <f>+Reference!$F$8</f>
        <v>0.36599999999999999</v>
      </c>
      <c r="K85" s="292">
        <v>418400</v>
      </c>
      <c r="L85" s="635">
        <f>ROUND(+L75*Reference!$F8,2)</f>
        <v>0</v>
      </c>
      <c r="M85" s="635"/>
      <c r="N85" s="537"/>
      <c r="O85" s="537"/>
      <c r="P85" s="537"/>
      <c r="Q85" s="537"/>
      <c r="R85" s="537"/>
      <c r="S85" s="537"/>
      <c r="T85" s="22"/>
      <c r="V85" s="1"/>
      <c r="W85" s="2"/>
      <c r="X85" s="3"/>
      <c r="Y85" s="103"/>
    </row>
    <row r="86" spans="1:25" x14ac:dyDescent="0.2">
      <c r="A86" s="14"/>
      <c r="B86" s="290" t="s">
        <v>15</v>
      </c>
      <c r="C86" s="290"/>
      <c r="D86" s="290"/>
      <c r="E86" s="290"/>
      <c r="F86" s="290"/>
      <c r="G86" s="290"/>
      <c r="H86" s="290"/>
      <c r="I86" s="290"/>
      <c r="J86" s="291">
        <f>+Reference!$F$9</f>
        <v>0.36599999999999999</v>
      </c>
      <c r="K86" s="292">
        <v>418610</v>
      </c>
      <c r="L86" s="635">
        <f>ROUND(+L76*Reference!$F9,2)</f>
        <v>1830</v>
      </c>
      <c r="M86" s="635"/>
      <c r="N86" s="537"/>
      <c r="O86" s="537"/>
      <c r="P86" s="537"/>
      <c r="Q86" s="537"/>
      <c r="R86" s="537"/>
      <c r="S86" s="537"/>
      <c r="T86" s="22"/>
      <c r="V86" s="1"/>
      <c r="W86" s="2"/>
      <c r="X86" s="3"/>
    </row>
    <row r="87" spans="1:25" x14ac:dyDescent="0.2">
      <c r="A87" s="14"/>
      <c r="B87" s="290" t="s">
        <v>18</v>
      </c>
      <c r="C87" s="290"/>
      <c r="D87" s="290"/>
      <c r="E87" s="290"/>
      <c r="F87" s="290"/>
      <c r="G87" s="290"/>
      <c r="H87" s="290"/>
      <c r="I87" s="290"/>
      <c r="J87" s="291">
        <f>+Reference!$F$10</f>
        <v>0.44900000000000001</v>
      </c>
      <c r="K87" s="292">
        <v>422500</v>
      </c>
      <c r="L87" s="635">
        <f>ROUND(+L77*Reference!$F10,2)</f>
        <v>0</v>
      </c>
      <c r="M87" s="635"/>
      <c r="N87" s="537"/>
      <c r="O87" s="537"/>
      <c r="P87" s="537"/>
      <c r="Q87" s="537"/>
      <c r="R87" s="537"/>
      <c r="S87" s="537"/>
      <c r="T87" s="22"/>
      <c r="V87" s="1"/>
      <c r="W87" s="2"/>
      <c r="X87" s="3"/>
    </row>
    <row r="88" spans="1:25" x14ac:dyDescent="0.2">
      <c r="A88" s="14"/>
      <c r="B88" s="290" t="s">
        <v>19</v>
      </c>
      <c r="C88" s="290"/>
      <c r="D88" s="290"/>
      <c r="E88" s="290"/>
      <c r="F88" s="290"/>
      <c r="G88" s="290"/>
      <c r="H88" s="290"/>
      <c r="I88" s="290"/>
      <c r="J88" s="291">
        <f>+Reference!$F$11</f>
        <v>0.503</v>
      </c>
      <c r="K88" s="292">
        <v>425000</v>
      </c>
      <c r="L88" s="635">
        <f>ROUND(+L78*Reference!$F11,2)</f>
        <v>0</v>
      </c>
      <c r="M88" s="635"/>
      <c r="N88" s="537"/>
      <c r="O88" s="537"/>
      <c r="P88" s="537"/>
      <c r="Q88" s="537"/>
      <c r="R88" s="537"/>
      <c r="S88" s="537"/>
      <c r="T88" s="22"/>
      <c r="V88" s="1"/>
      <c r="W88" s="2"/>
      <c r="X88" s="3"/>
    </row>
    <row r="89" spans="1:25" x14ac:dyDescent="0.2">
      <c r="A89" s="14"/>
      <c r="B89" s="290" t="s">
        <v>20</v>
      </c>
      <c r="C89" s="290"/>
      <c r="D89" s="290"/>
      <c r="E89" s="290"/>
      <c r="F89" s="290"/>
      <c r="G89" s="290"/>
      <c r="H89" s="290"/>
      <c r="I89" s="290"/>
      <c r="J89" s="291">
        <f>+Reference!$F$12</f>
        <v>0.24</v>
      </c>
      <c r="K89" s="292">
        <v>422610</v>
      </c>
      <c r="L89" s="635">
        <f>ROUND(+L79*Reference!$F12,2)</f>
        <v>0</v>
      </c>
      <c r="M89" s="635"/>
      <c r="N89" s="537"/>
      <c r="O89" s="537"/>
      <c r="P89" s="537"/>
      <c r="Q89" s="537"/>
      <c r="R89" s="537"/>
      <c r="S89" s="537"/>
      <c r="T89" s="22"/>
    </row>
    <row r="90" spans="1:25" x14ac:dyDescent="0.2">
      <c r="A90" s="14"/>
      <c r="B90" s="290" t="s">
        <v>21</v>
      </c>
      <c r="C90" s="290"/>
      <c r="D90" s="290"/>
      <c r="E90" s="290"/>
      <c r="F90" s="290"/>
      <c r="G90" s="290"/>
      <c r="H90" s="290"/>
      <c r="I90" s="290"/>
      <c r="J90" s="291">
        <f>+Reference!$F$13</f>
        <v>0.14699999999999999</v>
      </c>
      <c r="K90" s="292">
        <v>425110</v>
      </c>
      <c r="L90" s="635">
        <f>ROUND(+L80*Reference!$F13,2)</f>
        <v>0</v>
      </c>
      <c r="M90" s="635"/>
      <c r="N90" s="537"/>
      <c r="O90" s="537"/>
      <c r="P90" s="537"/>
      <c r="Q90" s="537"/>
      <c r="R90" s="537"/>
      <c r="S90" s="537"/>
      <c r="T90" s="22"/>
    </row>
    <row r="91" spans="1:25" x14ac:dyDescent="0.2">
      <c r="A91" s="14"/>
      <c r="B91" s="290" t="s">
        <v>17</v>
      </c>
      <c r="C91" s="290"/>
      <c r="D91" s="290"/>
      <c r="E91" s="290"/>
      <c r="F91" s="290"/>
      <c r="G91" s="290"/>
      <c r="H91" s="290"/>
      <c r="I91" s="290"/>
      <c r="J91" s="291">
        <f>+Reference!$F$14</f>
        <v>8.0000000000000002E-3</v>
      </c>
      <c r="K91" s="292">
        <v>422210</v>
      </c>
      <c r="L91" s="635">
        <f>ROUND(+L81*Reference!$F$14,2)</f>
        <v>0</v>
      </c>
      <c r="M91" s="635"/>
      <c r="N91" s="537"/>
      <c r="O91" s="537"/>
      <c r="P91" s="537"/>
      <c r="Q91" s="537"/>
      <c r="R91" s="537"/>
      <c r="S91" s="537"/>
      <c r="T91" s="22"/>
    </row>
    <row r="92" spans="1:25" x14ac:dyDescent="0.2">
      <c r="A92" s="14"/>
      <c r="B92" s="281" t="s">
        <v>9</v>
      </c>
      <c r="C92" s="281"/>
      <c r="D92" s="281"/>
      <c r="E92" s="281"/>
      <c r="F92" s="281"/>
      <c r="G92" s="281"/>
      <c r="H92" s="281"/>
      <c r="I92" s="281"/>
      <c r="J92" s="287">
        <f>+Reference!$F$15</f>
        <v>8.0000000000000002E-3</v>
      </c>
      <c r="K92" s="294">
        <v>427500</v>
      </c>
      <c r="L92" s="636">
        <f>ROUND(+L82*Reference!$F$15,2)</f>
        <v>0</v>
      </c>
      <c r="M92" s="636"/>
      <c r="N92" s="537"/>
      <c r="O92" s="537"/>
      <c r="P92" s="537"/>
      <c r="Q92" s="537"/>
      <c r="R92" s="537"/>
      <c r="S92" s="537"/>
      <c r="T92" s="22"/>
    </row>
    <row r="93" spans="1:25" x14ac:dyDescent="0.2">
      <c r="A93" s="14"/>
      <c r="B93" s="104" t="s">
        <v>24</v>
      </c>
      <c r="C93" s="105"/>
      <c r="D93" s="105"/>
      <c r="E93" s="105"/>
      <c r="F93" s="105"/>
      <c r="G93" s="107"/>
      <c r="H93" s="108"/>
      <c r="I93" s="108"/>
      <c r="J93" s="109"/>
      <c r="K93" s="295"/>
      <c r="L93" s="633">
        <f>SUM(L85:L92)</f>
        <v>1830</v>
      </c>
      <c r="M93" s="633"/>
      <c r="N93" s="537"/>
      <c r="O93" s="537"/>
      <c r="P93" s="537"/>
      <c r="Q93" s="537"/>
      <c r="R93" s="537"/>
      <c r="S93" s="537"/>
      <c r="T93" s="22"/>
      <c r="V93" s="110"/>
      <c r="W93" s="110"/>
      <c r="X93" s="110"/>
    </row>
    <row r="94" spans="1:25" s="110" customFormat="1" x14ac:dyDescent="0.2">
      <c r="A94" s="111"/>
      <c r="B94" s="112" t="s">
        <v>7</v>
      </c>
      <c r="C94" s="112"/>
      <c r="D94" s="112"/>
      <c r="E94" s="112"/>
      <c r="F94" s="112"/>
      <c r="G94" s="112"/>
      <c r="H94" s="112"/>
      <c r="I94" s="112"/>
      <c r="J94" s="112"/>
      <c r="K94" s="296"/>
      <c r="L94" s="634">
        <f>+L83+L93</f>
        <v>6830</v>
      </c>
      <c r="M94" s="634"/>
      <c r="N94" s="537"/>
      <c r="O94" s="537"/>
      <c r="P94" s="537"/>
      <c r="Q94" s="537"/>
      <c r="R94" s="537"/>
      <c r="S94" s="537"/>
      <c r="T94" s="22"/>
    </row>
    <row r="95" spans="1:25" ht="4.5" customHeight="1" x14ac:dyDescent="0.2">
      <c r="A95" s="14"/>
      <c r="B95" s="113"/>
      <c r="C95" s="113"/>
      <c r="D95" s="113"/>
      <c r="E95" s="113"/>
      <c r="F95" s="113"/>
      <c r="G95" s="113"/>
      <c r="H95" s="113"/>
      <c r="I95" s="113"/>
      <c r="J95" s="113"/>
      <c r="K95" s="115"/>
      <c r="L95" s="318"/>
      <c r="M95" s="319"/>
      <c r="N95" s="589"/>
      <c r="O95" s="589"/>
      <c r="P95" s="589"/>
      <c r="Q95" s="589"/>
      <c r="R95" s="589"/>
      <c r="S95" s="589"/>
      <c r="T95" s="22"/>
    </row>
    <row r="96" spans="1:25" x14ac:dyDescent="0.2">
      <c r="A96" s="14"/>
      <c r="B96" s="283" t="s">
        <v>10</v>
      </c>
      <c r="C96" s="283"/>
      <c r="D96" s="283"/>
      <c r="E96" s="283"/>
      <c r="F96" s="283"/>
      <c r="G96" s="283"/>
      <c r="H96" s="283"/>
      <c r="I96" s="283"/>
      <c r="J96" s="284"/>
      <c r="K96" s="297">
        <v>460000</v>
      </c>
      <c r="L96" s="519">
        <v>3900</v>
      </c>
      <c r="M96" s="520"/>
      <c r="N96" s="654"/>
      <c r="O96" s="655"/>
      <c r="P96" s="655"/>
      <c r="Q96" s="655"/>
      <c r="R96" s="655"/>
      <c r="S96" s="656"/>
      <c r="T96" s="22"/>
    </row>
    <row r="97" spans="1:22" x14ac:dyDescent="0.2">
      <c r="A97" s="14"/>
      <c r="B97" s="283" t="s">
        <v>70</v>
      </c>
      <c r="C97" s="283"/>
      <c r="D97" s="283"/>
      <c r="E97" s="283"/>
      <c r="F97" s="283"/>
      <c r="G97" s="283"/>
      <c r="H97" s="283"/>
      <c r="I97" s="283"/>
      <c r="J97" s="284"/>
      <c r="K97" s="297">
        <v>460000</v>
      </c>
      <c r="L97" s="519"/>
      <c r="M97" s="520"/>
      <c r="N97" s="652"/>
      <c r="O97" s="589"/>
      <c r="P97" s="589"/>
      <c r="Q97" s="589"/>
      <c r="R97" s="589"/>
      <c r="S97" s="653"/>
      <c r="T97" s="22"/>
      <c r="V97" s="34" t="s">
        <v>69</v>
      </c>
    </row>
    <row r="98" spans="1:22" x14ac:dyDescent="0.2">
      <c r="A98" s="14"/>
      <c r="B98" s="283" t="s">
        <v>68</v>
      </c>
      <c r="C98" s="283"/>
      <c r="D98" s="283"/>
      <c r="E98" s="283"/>
      <c r="F98" s="283"/>
      <c r="G98" s="283"/>
      <c r="H98" s="283"/>
      <c r="I98" s="283"/>
      <c r="J98" s="284"/>
      <c r="K98" s="297">
        <v>460000</v>
      </c>
      <c r="L98" s="519"/>
      <c r="M98" s="520"/>
      <c r="N98" s="652"/>
      <c r="O98" s="589"/>
      <c r="P98" s="589"/>
      <c r="Q98" s="589"/>
      <c r="R98" s="589"/>
      <c r="S98" s="653"/>
      <c r="T98" s="22"/>
    </row>
    <row r="99" spans="1:22" x14ac:dyDescent="0.2">
      <c r="A99" s="14"/>
      <c r="B99" s="283" t="s">
        <v>11</v>
      </c>
      <c r="C99" s="283"/>
      <c r="D99" s="283"/>
      <c r="E99" s="283"/>
      <c r="F99" s="283"/>
      <c r="G99" s="283"/>
      <c r="H99" s="283"/>
      <c r="I99" s="283"/>
      <c r="J99" s="284"/>
      <c r="K99" s="297">
        <v>460000</v>
      </c>
      <c r="L99" s="519"/>
      <c r="M99" s="520"/>
      <c r="N99" s="652"/>
      <c r="O99" s="589"/>
      <c r="P99" s="589"/>
      <c r="Q99" s="589"/>
      <c r="R99" s="589"/>
      <c r="S99" s="653"/>
      <c r="T99" s="22"/>
    </row>
    <row r="100" spans="1:22" x14ac:dyDescent="0.2">
      <c r="A100" s="14"/>
      <c r="B100" s="283" t="s">
        <v>12</v>
      </c>
      <c r="C100" s="283"/>
      <c r="D100" s="283"/>
      <c r="E100" s="283"/>
      <c r="F100" s="283"/>
      <c r="G100" s="283"/>
      <c r="H100" s="283"/>
      <c r="I100" s="283"/>
      <c r="J100" s="284"/>
      <c r="K100" s="297">
        <v>460000</v>
      </c>
      <c r="L100" s="519"/>
      <c r="M100" s="520"/>
      <c r="N100" s="652"/>
      <c r="O100" s="589"/>
      <c r="P100" s="589"/>
      <c r="Q100" s="589"/>
      <c r="R100" s="589"/>
      <c r="S100" s="653"/>
      <c r="T100" s="22"/>
    </row>
    <row r="101" spans="1:22" x14ac:dyDescent="0.2">
      <c r="A101" s="14"/>
      <c r="B101" s="283" t="s">
        <v>13</v>
      </c>
      <c r="C101" s="283"/>
      <c r="D101" s="283"/>
      <c r="E101" s="283"/>
      <c r="F101" s="283"/>
      <c r="G101" s="283"/>
      <c r="H101" s="283"/>
      <c r="I101" s="283"/>
      <c r="J101" s="284"/>
      <c r="K101" s="297">
        <v>460000</v>
      </c>
      <c r="L101" s="519"/>
      <c r="M101" s="520"/>
      <c r="N101" s="652"/>
      <c r="O101" s="589"/>
      <c r="P101" s="589"/>
      <c r="Q101" s="589"/>
      <c r="R101" s="589"/>
      <c r="S101" s="653"/>
      <c r="T101" s="22"/>
    </row>
    <row r="102" spans="1:22" x14ac:dyDescent="0.2">
      <c r="A102" s="14"/>
      <c r="B102" s="283" t="s">
        <v>36</v>
      </c>
      <c r="C102" s="283"/>
      <c r="D102" s="283"/>
      <c r="E102" s="283"/>
      <c r="F102" s="283"/>
      <c r="G102" s="283"/>
      <c r="H102" s="283"/>
      <c r="I102" s="283"/>
      <c r="J102" s="284"/>
      <c r="K102" s="297">
        <v>700000</v>
      </c>
      <c r="L102" s="519"/>
      <c r="M102" s="520"/>
      <c r="N102" s="652"/>
      <c r="O102" s="589"/>
      <c r="P102" s="589"/>
      <c r="Q102" s="589"/>
      <c r="R102" s="589"/>
      <c r="S102" s="653"/>
      <c r="T102" s="22"/>
    </row>
    <row r="103" spans="1:22" x14ac:dyDescent="0.2">
      <c r="A103" s="14"/>
      <c r="B103" s="283" t="s">
        <v>75</v>
      </c>
      <c r="C103" s="283"/>
      <c r="D103" s="283"/>
      <c r="E103" s="283"/>
      <c r="F103" s="283"/>
      <c r="G103" s="283"/>
      <c r="H103" s="283"/>
      <c r="I103" s="283"/>
      <c r="J103" s="284"/>
      <c r="K103" s="297">
        <v>460000</v>
      </c>
      <c r="L103" s="519"/>
      <c r="M103" s="520"/>
      <c r="N103" s="652"/>
      <c r="O103" s="589"/>
      <c r="P103" s="589"/>
      <c r="Q103" s="589"/>
      <c r="R103" s="589"/>
      <c r="S103" s="653"/>
      <c r="T103" s="22"/>
    </row>
    <row r="104" spans="1:22" x14ac:dyDescent="0.2">
      <c r="A104" s="14"/>
      <c r="B104" s="283" t="s">
        <v>75</v>
      </c>
      <c r="C104" s="283"/>
      <c r="D104" s="283"/>
      <c r="E104" s="283"/>
      <c r="F104" s="283"/>
      <c r="G104" s="283"/>
      <c r="H104" s="283"/>
      <c r="I104" s="283"/>
      <c r="J104" s="284"/>
      <c r="K104" s="297">
        <v>460000</v>
      </c>
      <c r="L104" s="519"/>
      <c r="M104" s="520"/>
      <c r="N104" s="652"/>
      <c r="O104" s="589"/>
      <c r="P104" s="589"/>
      <c r="Q104" s="589"/>
      <c r="R104" s="589"/>
      <c r="S104" s="653"/>
      <c r="T104" s="22"/>
    </row>
    <row r="105" spans="1:22" x14ac:dyDescent="0.2">
      <c r="A105" s="14"/>
      <c r="B105" s="283" t="s">
        <v>75</v>
      </c>
      <c r="C105" s="283"/>
      <c r="D105" s="283"/>
      <c r="E105" s="283"/>
      <c r="F105" s="283"/>
      <c r="G105" s="283"/>
      <c r="H105" s="283"/>
      <c r="I105" s="283"/>
      <c r="J105" s="284"/>
      <c r="K105" s="297">
        <v>460000</v>
      </c>
      <c r="L105" s="519"/>
      <c r="M105" s="520"/>
      <c r="N105" s="652"/>
      <c r="O105" s="589"/>
      <c r="P105" s="589"/>
      <c r="Q105" s="589"/>
      <c r="R105" s="589"/>
      <c r="S105" s="653"/>
      <c r="T105" s="22"/>
    </row>
    <row r="106" spans="1:22" x14ac:dyDescent="0.2">
      <c r="A106" s="14"/>
      <c r="B106" s="283" t="s">
        <v>75</v>
      </c>
      <c r="C106" s="283"/>
      <c r="D106" s="283"/>
      <c r="E106" s="283"/>
      <c r="F106" s="283"/>
      <c r="G106" s="283"/>
      <c r="H106" s="283"/>
      <c r="I106" s="283"/>
      <c r="J106" s="284"/>
      <c r="K106" s="297">
        <v>460000</v>
      </c>
      <c r="L106" s="519"/>
      <c r="M106" s="520"/>
      <c r="N106" s="652"/>
      <c r="O106" s="589"/>
      <c r="P106" s="589"/>
      <c r="Q106" s="589"/>
      <c r="R106" s="589"/>
      <c r="S106" s="653"/>
      <c r="T106" s="22"/>
    </row>
    <row r="107" spans="1:22" x14ac:dyDescent="0.2">
      <c r="A107" s="14"/>
      <c r="B107" s="283" t="s">
        <v>75</v>
      </c>
      <c r="C107" s="283"/>
      <c r="D107" s="283"/>
      <c r="E107" s="283"/>
      <c r="F107" s="283"/>
      <c r="G107" s="283"/>
      <c r="H107" s="283"/>
      <c r="I107" s="283"/>
      <c r="J107" s="284"/>
      <c r="K107" s="297">
        <v>460000</v>
      </c>
      <c r="L107" s="519"/>
      <c r="M107" s="520"/>
      <c r="N107" s="652"/>
      <c r="O107" s="589"/>
      <c r="P107" s="589"/>
      <c r="Q107" s="589"/>
      <c r="R107" s="589"/>
      <c r="S107" s="653"/>
      <c r="T107" s="22"/>
    </row>
    <row r="108" spans="1:22" x14ac:dyDescent="0.2">
      <c r="A108" s="14"/>
      <c r="B108" s="283" t="s">
        <v>75</v>
      </c>
      <c r="C108" s="283"/>
      <c r="D108" s="283"/>
      <c r="E108" s="283"/>
      <c r="F108" s="283"/>
      <c r="G108" s="283"/>
      <c r="H108" s="283"/>
      <c r="I108" s="283"/>
      <c r="J108" s="284"/>
      <c r="K108" s="297">
        <v>460000</v>
      </c>
      <c r="L108" s="519"/>
      <c r="M108" s="520"/>
      <c r="N108" s="652"/>
      <c r="O108" s="589"/>
      <c r="P108" s="589"/>
      <c r="Q108" s="589"/>
      <c r="R108" s="589"/>
      <c r="S108" s="653"/>
      <c r="T108" s="22"/>
    </row>
    <row r="109" spans="1:22" x14ac:dyDescent="0.2">
      <c r="A109" s="14"/>
      <c r="B109" s="283" t="s">
        <v>75</v>
      </c>
      <c r="C109" s="283"/>
      <c r="D109" s="283"/>
      <c r="E109" s="283"/>
      <c r="F109" s="283"/>
      <c r="G109" s="283"/>
      <c r="H109" s="283"/>
      <c r="I109" s="283"/>
      <c r="J109" s="284"/>
      <c r="K109" s="297">
        <v>460000</v>
      </c>
      <c r="L109" s="519"/>
      <c r="M109" s="520"/>
      <c r="N109" s="652"/>
      <c r="O109" s="589"/>
      <c r="P109" s="589"/>
      <c r="Q109" s="589"/>
      <c r="R109" s="589"/>
      <c r="S109" s="653"/>
      <c r="T109" s="22"/>
    </row>
    <row r="110" spans="1:22" x14ac:dyDescent="0.2">
      <c r="A110" s="14"/>
      <c r="B110" s="283" t="s">
        <v>75</v>
      </c>
      <c r="C110" s="283"/>
      <c r="D110" s="283"/>
      <c r="E110" s="283"/>
      <c r="F110" s="283"/>
      <c r="G110" s="283"/>
      <c r="H110" s="283"/>
      <c r="I110" s="283"/>
      <c r="J110" s="284"/>
      <c r="K110" s="297">
        <v>460000</v>
      </c>
      <c r="L110" s="519"/>
      <c r="M110" s="520"/>
      <c r="N110" s="652"/>
      <c r="O110" s="589"/>
      <c r="P110" s="589"/>
      <c r="Q110" s="589"/>
      <c r="R110" s="589"/>
      <c r="S110" s="653"/>
      <c r="T110" s="22"/>
    </row>
    <row r="111" spans="1:22" x14ac:dyDescent="0.2">
      <c r="A111" s="14"/>
      <c r="B111" s="283" t="s">
        <v>75</v>
      </c>
      <c r="C111" s="283"/>
      <c r="D111" s="283"/>
      <c r="E111" s="283"/>
      <c r="F111" s="283"/>
      <c r="G111" s="283"/>
      <c r="H111" s="283"/>
      <c r="I111" s="283"/>
      <c r="J111" s="284"/>
      <c r="K111" s="297">
        <v>460000</v>
      </c>
      <c r="L111" s="519"/>
      <c r="M111" s="520"/>
      <c r="N111" s="652"/>
      <c r="O111" s="589"/>
      <c r="P111" s="589"/>
      <c r="Q111" s="589"/>
      <c r="R111" s="589"/>
      <c r="S111" s="653"/>
      <c r="T111" s="22"/>
    </row>
    <row r="112" spans="1:22" x14ac:dyDescent="0.2">
      <c r="A112" s="14"/>
      <c r="B112" s="283" t="s">
        <v>75</v>
      </c>
      <c r="C112" s="283"/>
      <c r="D112" s="283"/>
      <c r="E112" s="283"/>
      <c r="F112" s="283"/>
      <c r="G112" s="283"/>
      <c r="H112" s="283"/>
      <c r="I112" s="283"/>
      <c r="J112" s="284"/>
      <c r="K112" s="297">
        <v>460000</v>
      </c>
      <c r="L112" s="519"/>
      <c r="M112" s="520"/>
      <c r="N112" s="652"/>
      <c r="O112" s="589"/>
      <c r="P112" s="589"/>
      <c r="Q112" s="589"/>
      <c r="R112" s="589"/>
      <c r="S112" s="653"/>
      <c r="T112" s="22"/>
    </row>
    <row r="113" spans="1:26" x14ac:dyDescent="0.2">
      <c r="A113" s="14"/>
      <c r="B113" s="283" t="s">
        <v>75</v>
      </c>
      <c r="C113" s="283"/>
      <c r="D113" s="283"/>
      <c r="E113" s="283"/>
      <c r="F113" s="283"/>
      <c r="G113" s="283"/>
      <c r="H113" s="283"/>
      <c r="I113" s="283"/>
      <c r="J113" s="284"/>
      <c r="K113" s="297">
        <v>460000</v>
      </c>
      <c r="L113" s="519"/>
      <c r="M113" s="520"/>
      <c r="N113" s="652"/>
      <c r="O113" s="589"/>
      <c r="P113" s="589"/>
      <c r="Q113" s="589"/>
      <c r="R113" s="589"/>
      <c r="S113" s="653"/>
      <c r="T113" s="22"/>
    </row>
    <row r="114" spans="1:26" x14ac:dyDescent="0.2">
      <c r="A114" s="14"/>
      <c r="B114" s="283" t="s">
        <v>75</v>
      </c>
      <c r="C114" s="283"/>
      <c r="D114" s="283"/>
      <c r="E114" s="283"/>
      <c r="F114" s="283"/>
      <c r="G114" s="283"/>
      <c r="H114" s="283"/>
      <c r="I114" s="283"/>
      <c r="J114" s="284"/>
      <c r="K114" s="297">
        <v>460000</v>
      </c>
      <c r="L114" s="519"/>
      <c r="M114" s="520"/>
      <c r="N114" s="652"/>
      <c r="O114" s="589"/>
      <c r="P114" s="589"/>
      <c r="Q114" s="589"/>
      <c r="R114" s="589"/>
      <c r="S114" s="653"/>
      <c r="T114" s="22"/>
    </row>
    <row r="115" spans="1:26" x14ac:dyDescent="0.2">
      <c r="A115" s="14"/>
      <c r="B115" s="298" t="s">
        <v>75</v>
      </c>
      <c r="C115" s="299"/>
      <c r="D115" s="299"/>
      <c r="E115" s="299"/>
      <c r="F115" s="300"/>
      <c r="G115" s="299"/>
      <c r="H115" s="299"/>
      <c r="I115" s="299"/>
      <c r="J115" s="301"/>
      <c r="K115" s="302">
        <v>460000</v>
      </c>
      <c r="L115" s="519"/>
      <c r="M115" s="520"/>
      <c r="N115" s="333"/>
      <c r="O115" s="334" t="s">
        <v>184</v>
      </c>
      <c r="P115" s="335" t="s">
        <v>185</v>
      </c>
      <c r="Q115" s="336"/>
      <c r="R115" s="336"/>
      <c r="S115" s="336"/>
      <c r="T115" s="22"/>
      <c r="Y115" s="114"/>
    </row>
    <row r="116" spans="1:26" x14ac:dyDescent="0.2">
      <c r="A116" s="14"/>
      <c r="B116" s="303" t="s">
        <v>14</v>
      </c>
      <c r="C116" s="304"/>
      <c r="D116" s="304"/>
      <c r="E116" s="304"/>
      <c r="F116" s="304"/>
      <c r="G116" s="304"/>
      <c r="H116" s="304"/>
      <c r="I116" s="304"/>
      <c r="J116" s="305"/>
      <c r="K116" s="306"/>
      <c r="L116" s="657">
        <f>SUM(L96:L115)</f>
        <v>3900</v>
      </c>
      <c r="M116" s="657"/>
      <c r="N116" s="537"/>
      <c r="O116" s="537"/>
      <c r="P116" s="537"/>
      <c r="Q116" s="537"/>
      <c r="R116" s="537"/>
      <c r="S116" s="537"/>
      <c r="T116" s="22"/>
    </row>
    <row r="117" spans="1:26" ht="4.5" customHeight="1" x14ac:dyDescent="0.2">
      <c r="A117" s="14"/>
      <c r="B117" s="284"/>
      <c r="C117" s="284"/>
      <c r="D117" s="284"/>
      <c r="E117" s="284"/>
      <c r="F117" s="284"/>
      <c r="G117" s="284"/>
      <c r="H117" s="284"/>
      <c r="I117" s="284"/>
      <c r="J117" s="284"/>
      <c r="K117" s="307"/>
      <c r="L117" s="320"/>
      <c r="M117" s="321"/>
      <c r="N117" s="537"/>
      <c r="O117" s="537"/>
      <c r="P117" s="537"/>
      <c r="Q117" s="537"/>
      <c r="R117" s="537"/>
      <c r="S117" s="537"/>
      <c r="T117" s="22"/>
    </row>
    <row r="118" spans="1:26" x14ac:dyDescent="0.2">
      <c r="A118" s="14"/>
      <c r="B118" s="304" t="s">
        <v>151</v>
      </c>
      <c r="C118" s="304"/>
      <c r="D118" s="304"/>
      <c r="E118" s="304"/>
      <c r="F118" s="304"/>
      <c r="G118" s="304"/>
      <c r="H118" s="304"/>
      <c r="I118" s="304"/>
      <c r="J118" s="304"/>
      <c r="K118" s="311"/>
      <c r="L118" s="559">
        <f>L94+L116</f>
        <v>10730</v>
      </c>
      <c r="M118" s="559"/>
      <c r="N118" s="537"/>
      <c r="O118" s="537"/>
      <c r="P118" s="537"/>
      <c r="Q118" s="537"/>
      <c r="R118" s="537"/>
      <c r="S118" s="537"/>
      <c r="T118" s="22"/>
    </row>
    <row r="119" spans="1:26" x14ac:dyDescent="0.2">
      <c r="A119" s="14"/>
      <c r="B119" s="309" t="str">
        <f>IF(SampleSwitch="No","GAR","GAR, including GAR on inventory purchases")</f>
        <v>GAR</v>
      </c>
      <c r="C119" s="283"/>
      <c r="D119" s="283"/>
      <c r="E119" s="283"/>
      <c r="F119" s="283"/>
      <c r="G119" s="283"/>
      <c r="H119" s="283"/>
      <c r="I119" s="283"/>
      <c r="J119" s="310">
        <f>IF($C$7="",Reference!$F$3,IF(VALUE(LEFT($C$7,1))=2,Reference!$F$3,0))</f>
        <v>8.7499999999999994E-2</v>
      </c>
      <c r="K119" s="307">
        <v>960100</v>
      </c>
      <c r="L119" s="659">
        <f>IF(SampleSwitch="No",ROUND($L$118*J119,2),ROUND(($L$118+$F$66)*J119,2))</f>
        <v>938.88</v>
      </c>
      <c r="M119" s="659"/>
      <c r="N119" s="537"/>
      <c r="O119" s="537"/>
      <c r="P119" s="537"/>
      <c r="Q119" s="537"/>
      <c r="R119" s="537"/>
      <c r="S119" s="537"/>
      <c r="T119" s="22"/>
    </row>
    <row r="120" spans="1:26" x14ac:dyDescent="0.2">
      <c r="A120" s="14"/>
      <c r="B120" s="309" t="str">
        <f>IF(SampleSwitch="No","GIR","GIR, including GIR on inventory purchases")</f>
        <v>GIR</v>
      </c>
      <c r="C120" s="283"/>
      <c r="D120" s="283"/>
      <c r="E120" s="283"/>
      <c r="F120" s="283"/>
      <c r="G120" s="283"/>
      <c r="H120" s="283"/>
      <c r="I120" s="283"/>
      <c r="J120" s="310">
        <f>IF($C$7="",Reference!$F$4,IF(VALUE(LEFT($C$7,1))=2,Reference!$F$4,0))</f>
        <v>0</v>
      </c>
      <c r="K120" s="307">
        <v>960200</v>
      </c>
      <c r="L120" s="660">
        <f>IF(SampleSwitch="No",ROUND($L$118*J120,2),ROUND(($L$118+$F$66)*J120,2))</f>
        <v>0</v>
      </c>
      <c r="M120" s="660"/>
      <c r="N120" s="537"/>
      <c r="O120" s="537"/>
      <c r="P120" s="537"/>
      <c r="Q120" s="537"/>
      <c r="R120" s="537"/>
      <c r="S120" s="537"/>
      <c r="T120" s="22"/>
    </row>
    <row r="121" spans="1:26" x14ac:dyDescent="0.2">
      <c r="A121" s="14"/>
      <c r="B121" s="299" t="s">
        <v>25</v>
      </c>
      <c r="C121" s="299"/>
      <c r="D121" s="299"/>
      <c r="E121" s="299"/>
      <c r="F121" s="299"/>
      <c r="G121" s="299"/>
      <c r="H121" s="299"/>
      <c r="I121" s="299"/>
      <c r="J121" s="301"/>
      <c r="K121" s="302">
        <v>997106</v>
      </c>
      <c r="L121" s="661"/>
      <c r="M121" s="662"/>
      <c r="N121" s="654"/>
      <c r="O121" s="655"/>
      <c r="P121" s="655"/>
      <c r="Q121" s="655"/>
      <c r="R121" s="655"/>
      <c r="S121" s="656"/>
      <c r="T121" s="22"/>
    </row>
    <row r="122" spans="1:26" x14ac:dyDescent="0.2">
      <c r="A122" s="14"/>
      <c r="B122" s="304" t="s">
        <v>152</v>
      </c>
      <c r="C122" s="304"/>
      <c r="D122" s="304"/>
      <c r="E122" s="304"/>
      <c r="F122" s="304"/>
      <c r="G122" s="304"/>
      <c r="H122" s="304"/>
      <c r="I122" s="304"/>
      <c r="J122" s="304"/>
      <c r="K122" s="311"/>
      <c r="L122" s="657">
        <f>SUM(L118:M121)</f>
        <v>11668.88</v>
      </c>
      <c r="M122" s="657"/>
      <c r="N122" s="537"/>
      <c r="O122" s="537"/>
      <c r="P122" s="537"/>
      <c r="Q122" s="537"/>
      <c r="R122" s="537"/>
      <c r="S122" s="537"/>
      <c r="T122" s="22"/>
      <c r="V122" s="337"/>
      <c r="Y122" s="103"/>
    </row>
    <row r="123" spans="1:26" ht="12.75" customHeight="1" x14ac:dyDescent="0.2">
      <c r="A123" s="14"/>
      <c r="B123" s="511" t="s">
        <v>153</v>
      </c>
      <c r="C123" s="511"/>
      <c r="D123" s="511"/>
      <c r="E123" s="511"/>
      <c r="F123" s="511"/>
      <c r="G123" s="511"/>
      <c r="H123" s="511"/>
      <c r="I123" s="511"/>
      <c r="J123" s="511"/>
      <c r="K123" s="312"/>
      <c r="L123" s="517"/>
      <c r="M123" s="518"/>
      <c r="N123" s="313"/>
      <c r="P123" s="7"/>
      <c r="Q123" s="314" t="str">
        <f>IF(L123&gt;0,"Choose primary funding source","")</f>
        <v/>
      </c>
      <c r="R123" s="550" t="s">
        <v>132</v>
      </c>
      <c r="S123" s="550"/>
      <c r="T123" s="22"/>
      <c r="U123" s="7" t="str">
        <f>IF(ISNUMBER(L123),"&lt;-","")</f>
        <v/>
      </c>
      <c r="V123" s="658" t="str">
        <f>IF(ISNUMBER(L123),"Unallowable expenses must be paid for by departmental subsidies or external sales gains.  Choose which source you would like to use first for these expenses; any amount not covered by the primary source will be charged to the other source.","")</f>
        <v/>
      </c>
      <c r="W123" s="658"/>
      <c r="X123" s="658"/>
      <c r="Y123" s="658"/>
      <c r="Z123" s="658"/>
    </row>
    <row r="124" spans="1:26" x14ac:dyDescent="0.2">
      <c r="A124" s="14"/>
      <c r="B124" s="304" t="s">
        <v>154</v>
      </c>
      <c r="C124" s="304"/>
      <c r="D124" s="304"/>
      <c r="E124" s="304"/>
      <c r="F124" s="304"/>
      <c r="G124" s="304"/>
      <c r="H124" s="304"/>
      <c r="I124" s="304"/>
      <c r="J124" s="304"/>
      <c r="K124" s="308"/>
      <c r="L124" s="557">
        <f>SUM(L122:M123)</f>
        <v>11668.88</v>
      </c>
      <c r="M124" s="558"/>
      <c r="N124" s="116"/>
      <c r="O124" s="117"/>
      <c r="P124" s="117"/>
      <c r="Q124" s="118" t="str">
        <f>IF(L123&gt;0,"for unallowable expenses","")</f>
        <v/>
      </c>
      <c r="R124" s="117"/>
      <c r="S124" s="117"/>
      <c r="T124" s="22"/>
      <c r="V124" s="658"/>
      <c r="W124" s="658"/>
      <c r="X124" s="658"/>
      <c r="Y124" s="658"/>
      <c r="Z124" s="658"/>
    </row>
    <row r="125" spans="1:26" ht="12.75" customHeight="1" x14ac:dyDescent="0.2">
      <c r="A125" s="14"/>
      <c r="B125" s="512" t="s">
        <v>145</v>
      </c>
      <c r="C125" s="512"/>
      <c r="D125" s="512"/>
      <c r="E125" s="512"/>
      <c r="F125" s="512"/>
      <c r="G125" s="512"/>
      <c r="H125" s="512"/>
      <c r="I125" s="512"/>
      <c r="J125" s="512"/>
      <c r="K125" s="297">
        <v>995100</v>
      </c>
      <c r="L125" s="519">
        <v>500</v>
      </c>
      <c r="M125" s="520"/>
      <c r="N125" s="654"/>
      <c r="O125" s="655"/>
      <c r="P125" s="655"/>
      <c r="Q125" s="655"/>
      <c r="R125" s="655"/>
      <c r="S125" s="656"/>
      <c r="T125" s="22"/>
      <c r="V125" s="658"/>
      <c r="W125" s="658"/>
      <c r="X125" s="658"/>
      <c r="Y125" s="658"/>
      <c r="Z125" s="658"/>
    </row>
    <row r="126" spans="1:26" x14ac:dyDescent="0.2">
      <c r="A126" s="14"/>
      <c r="B126" s="533" t="s">
        <v>156</v>
      </c>
      <c r="C126" s="534"/>
      <c r="D126" s="534"/>
      <c r="E126" s="534"/>
      <c r="F126" s="534"/>
      <c r="G126" s="534"/>
      <c r="H126" s="534"/>
      <c r="I126" s="534"/>
      <c r="J126" s="534"/>
      <c r="K126" s="302">
        <v>995100</v>
      </c>
      <c r="L126" s="517"/>
      <c r="M126" s="518"/>
      <c r="N126" s="663" t="str">
        <f>IF(AND(ISNUMBER(L67),L67&gt;0,L126&gt;0),"Not allowed if internal sales will occur.","")</f>
        <v/>
      </c>
      <c r="O126" s="664"/>
      <c r="P126" s="664"/>
      <c r="Q126" s="664"/>
      <c r="R126" s="664"/>
      <c r="S126" s="665"/>
      <c r="T126" s="22"/>
      <c r="Y126" s="119"/>
    </row>
    <row r="127" spans="1:26" x14ac:dyDescent="0.2">
      <c r="A127" s="14"/>
      <c r="B127" s="304" t="s">
        <v>155</v>
      </c>
      <c r="C127" s="304"/>
      <c r="D127" s="304"/>
      <c r="E127" s="304"/>
      <c r="F127" s="304"/>
      <c r="G127" s="304"/>
      <c r="H127" s="304"/>
      <c r="I127" s="304"/>
      <c r="J127" s="304"/>
      <c r="K127" s="311"/>
      <c r="L127" s="507">
        <f>+L124-L125-L126</f>
        <v>11168.88</v>
      </c>
      <c r="M127" s="507"/>
      <c r="N127" s="508"/>
      <c r="O127" s="508"/>
      <c r="P127" s="508"/>
      <c r="Q127" s="508"/>
      <c r="R127" s="508"/>
      <c r="S127" s="508"/>
      <c r="T127" s="22"/>
      <c r="V127" s="337"/>
      <c r="W127" s="337"/>
    </row>
    <row r="128" spans="1:26" ht="4.5" customHeight="1" thickBot="1" x14ac:dyDescent="0.25">
      <c r="A128" s="29"/>
      <c r="B128" s="30"/>
      <c r="C128" s="30"/>
      <c r="D128" s="30"/>
      <c r="E128" s="30"/>
      <c r="F128" s="30"/>
      <c r="G128" s="30"/>
      <c r="H128" s="30"/>
      <c r="I128" s="30"/>
      <c r="J128" s="30"/>
      <c r="K128" s="30"/>
      <c r="L128" s="30"/>
      <c r="M128" s="30"/>
      <c r="N128" s="30"/>
      <c r="O128" s="30"/>
      <c r="P128" s="89"/>
      <c r="Q128" s="89"/>
      <c r="R128" s="88"/>
      <c r="S128" s="88"/>
      <c r="T128" s="32"/>
    </row>
    <row r="129" spans="1:24" ht="13.5" thickBot="1" x14ac:dyDescent="0.25">
      <c r="B129" s="8"/>
      <c r="C129" s="8"/>
      <c r="D129" s="8"/>
      <c r="E129" s="8"/>
      <c r="F129" s="8"/>
      <c r="G129" s="8"/>
      <c r="H129" s="8"/>
      <c r="I129" s="8"/>
      <c r="J129" s="8"/>
      <c r="K129" s="18"/>
      <c r="L129" s="18"/>
      <c r="M129" s="18"/>
      <c r="N129" s="18"/>
      <c r="O129" s="18"/>
      <c r="P129" s="120"/>
      <c r="Q129" s="34"/>
      <c r="R129" s="34"/>
      <c r="S129" s="34"/>
      <c r="T129" s="34"/>
    </row>
    <row r="130" spans="1:24" ht="21.75" customHeight="1" x14ac:dyDescent="0.2">
      <c r="A130" s="11"/>
      <c r="B130" s="403" t="s">
        <v>240</v>
      </c>
      <c r="C130" s="12" t="str">
        <f>IF(Q70="","Complete step 4 first",IF(SampleSwitch="No","Rate Selection","Margin Selection"))</f>
        <v>Rate Selection</v>
      </c>
      <c r="D130" s="12"/>
      <c r="E130" s="12"/>
      <c r="F130" s="529" t="str">
        <f>IF(OR(LEFT(P135,6)="Choose",LEFT(P137,6)="Choose",LEFT(P139,6)="Choose",LEFT(P141,6)="Choose",LEFT(K149,6)="Choose"),"Errors Present!","")</f>
        <v/>
      </c>
      <c r="G130" s="529"/>
      <c r="H130" s="529"/>
      <c r="I130" s="529"/>
      <c r="J130" s="529"/>
      <c r="K130" s="529"/>
      <c r="L130" s="529"/>
      <c r="M130" s="529"/>
      <c r="N130" s="529"/>
      <c r="O130" s="529"/>
      <c r="P130" s="12"/>
      <c r="Q130" s="560" t="str">
        <f>IF(OR(AND(B136="yes",ISBLANK(H135)),AND(B138="yes",ISBLANK(H137)),AND(B140="yes",ISBLANK(H139)),AND(B142="yes",ISBLANK(H141)),F130&lt;&gt;"",Q70&lt;&gt;"Step Complete"),"","Step Complete")</f>
        <v>Step Complete</v>
      </c>
      <c r="R130" s="560"/>
      <c r="S130" s="560"/>
      <c r="T130" s="13"/>
      <c r="V130" s="326"/>
      <c r="W130" s="326"/>
      <c r="X130" s="326"/>
    </row>
    <row r="131" spans="1:24" ht="4.5" customHeight="1" x14ac:dyDescent="0.2">
      <c r="A131" s="14"/>
      <c r="B131" s="90"/>
      <c r="C131" s="90"/>
      <c r="D131" s="90"/>
      <c r="E131" s="90"/>
      <c r="F131" s="121"/>
      <c r="G131" s="121"/>
      <c r="H131" s="121"/>
      <c r="I131" s="121"/>
      <c r="J131" s="121"/>
      <c r="K131" s="121"/>
      <c r="L131" s="121"/>
      <c r="M131" s="121"/>
      <c r="N131" s="121"/>
      <c r="O131" s="121"/>
      <c r="P131" s="15"/>
      <c r="Q131" s="15"/>
      <c r="R131" s="15"/>
      <c r="S131" s="15"/>
      <c r="T131" s="17"/>
      <c r="V131" s="326"/>
      <c r="W131" s="326"/>
      <c r="X131" s="326"/>
    </row>
    <row r="132" spans="1:24" x14ac:dyDescent="0.2">
      <c r="A132" s="14"/>
      <c r="B132" s="122" t="str">
        <f>"Choose a "&amp;IF(SampleSwitch="No","rate ","margin ")&amp;"for each customer type between the minimum and maximums shown for each.  The gain/(loss) figures shown are for that customer type only."</f>
        <v>Choose a rate for each customer type between the minimum and maximums shown for each.  The gain/(loss) figures shown are for that customer type only.</v>
      </c>
      <c r="C132" s="122"/>
      <c r="D132" s="8"/>
      <c r="E132" s="8"/>
      <c r="F132" s="8"/>
      <c r="G132" s="8"/>
      <c r="H132" s="8"/>
      <c r="I132" s="8"/>
      <c r="J132" s="8"/>
      <c r="K132" s="18"/>
      <c r="L132" s="18"/>
      <c r="M132" s="18"/>
      <c r="N132" s="18"/>
      <c r="O132" s="18"/>
      <c r="P132" s="120"/>
      <c r="Q132" s="34"/>
      <c r="R132" s="34"/>
      <c r="S132" s="34"/>
      <c r="T132" s="35"/>
    </row>
    <row r="133" spans="1:24" ht="4.5" customHeight="1" x14ac:dyDescent="0.2">
      <c r="A133" s="14"/>
      <c r="B133" s="8"/>
      <c r="C133" s="8"/>
      <c r="D133" s="8"/>
      <c r="E133" s="8"/>
      <c r="F133" s="8"/>
      <c r="G133" s="8"/>
      <c r="H133" s="8"/>
      <c r="I133" s="8"/>
      <c r="J133" s="8"/>
      <c r="K133" s="18"/>
      <c r="L133" s="18"/>
      <c r="M133" s="18"/>
      <c r="N133" s="18"/>
      <c r="O133" s="18"/>
      <c r="P133" s="120"/>
      <c r="Q133" s="34"/>
      <c r="R133" s="34"/>
      <c r="S133" s="34"/>
      <c r="T133" s="35"/>
    </row>
    <row r="134" spans="1:24" ht="25.5" customHeight="1" x14ac:dyDescent="0.2">
      <c r="A134" s="14"/>
      <c r="B134" s="8"/>
      <c r="C134" s="8"/>
      <c r="D134" s="8"/>
      <c r="E134" s="8"/>
      <c r="F134" s="554" t="s">
        <v>85</v>
      </c>
      <c r="G134" s="554"/>
      <c r="H134" s="521" t="s">
        <v>87</v>
      </c>
      <c r="I134" s="521"/>
      <c r="J134" s="543" t="s">
        <v>86</v>
      </c>
      <c r="K134" s="543"/>
      <c r="L134" s="555" t="s">
        <v>88</v>
      </c>
      <c r="M134" s="555"/>
      <c r="N134" s="530" t="s">
        <v>89</v>
      </c>
      <c r="O134" s="530"/>
      <c r="P134" s="7"/>
      <c r="Q134" s="7"/>
      <c r="R134" s="7"/>
      <c r="S134" s="110"/>
      <c r="T134" s="35"/>
    </row>
    <row r="135" spans="1:24" x14ac:dyDescent="0.2">
      <c r="A135" s="14"/>
      <c r="B135" s="123" t="s">
        <v>84</v>
      </c>
      <c r="C135" s="123"/>
      <c r="D135" s="8"/>
      <c r="E135" s="8"/>
      <c r="F135" s="501">
        <f>IF(B136="no","",0)</f>
        <v>0</v>
      </c>
      <c r="G135" s="501"/>
      <c r="H135" s="544">
        <v>10</v>
      </c>
      <c r="I135" s="545"/>
      <c r="J135" s="542">
        <f>IF(B136="yes",IF(SampleSwitch="No",IFERROR(ROUND(C144,2),""),IFERROR(C144,"")),"")</f>
        <v>10.71</v>
      </c>
      <c r="K135" s="542"/>
      <c r="L135" s="556">
        <f>IF(AND(ISNUMBER(F135),ISNUMBER(H135)),ROUND(($F$64*L67*H135),2)+(L125)-ROUND(($L$122*L67),2),"")</f>
        <v>-167.55000000000018</v>
      </c>
      <c r="M135" s="556"/>
      <c r="N135" s="541">
        <f>IF(AND(ISNUMBER(F135),ISNUMBER(H135)),IFERROR(L135/(($L$122*L67)/365),0),"")</f>
        <v>-13.102317874551813</v>
      </c>
      <c r="O135" s="541"/>
      <c r="P135" s="127" t="str">
        <f>IF(B136="yes",IF(H135&lt;F135,"Choose a higher rate",IF(H135&gt;J135,"Choose a lower rate","")),"")</f>
        <v/>
      </c>
      <c r="Q135" s="7"/>
      <c r="R135" s="7"/>
      <c r="S135" s="124"/>
      <c r="T135" s="35"/>
    </row>
    <row r="136" spans="1:24" ht="4.5" customHeight="1" x14ac:dyDescent="0.2">
      <c r="A136" s="14"/>
      <c r="B136" s="125" t="str">
        <f>IF(L$67="","no","yes")</f>
        <v>yes</v>
      </c>
      <c r="C136" s="125"/>
      <c r="D136" s="8"/>
      <c r="E136" s="8"/>
      <c r="F136" s="525"/>
      <c r="G136" s="525"/>
      <c r="H136" s="525"/>
      <c r="I136" s="525"/>
      <c r="J136" s="582"/>
      <c r="K136" s="582"/>
      <c r="L136" s="546"/>
      <c r="M136" s="546"/>
      <c r="N136" s="515"/>
      <c r="O136" s="515"/>
      <c r="P136" s="7"/>
      <c r="Q136" s="7"/>
      <c r="R136" s="7"/>
      <c r="S136" s="126"/>
      <c r="T136" s="35"/>
    </row>
    <row r="137" spans="1:24" x14ac:dyDescent="0.2">
      <c r="A137" s="14"/>
      <c r="B137" s="123" t="s">
        <v>90</v>
      </c>
      <c r="C137" s="123"/>
      <c r="D137" s="8"/>
      <c r="E137" s="8"/>
      <c r="F137" s="501">
        <f>IF(B138="no","",IF(AND(B136="yes",ISNUMBER(H135)),MAX(H135,ROUND(E144,2)),IF(SampleSwitch="No",ROUND(E144,2),E144)))</f>
        <v>11.67</v>
      </c>
      <c r="G137" s="501"/>
      <c r="H137" s="544">
        <v>12</v>
      </c>
      <c r="I137" s="545"/>
      <c r="J137" s="542">
        <f>IF(B138="yes",IF(B136="no","(no maximum)",IF(SampleSwitch="No",IFERROR(ROUND(MAX(C144,F137,G144),2),""),IFERROR(G144,""))),"")</f>
        <v>12.94</v>
      </c>
      <c r="K137" s="542"/>
      <c r="L137" s="556">
        <f>IF(AND(ISNUMBER(F137),ISNUMBER(H137)),ROUND(($F$64*N67*H137),2)+($L$126*N67)-ROUND(($L$122*N67),2),"")</f>
        <v>99.340000000000146</v>
      </c>
      <c r="M137" s="556"/>
      <c r="N137" s="541">
        <f>IF(AND(ISNUMBER(F137),ISNUMBER(H137)),IFERROR(L137/(($L$122*N67)/365),0),"")</f>
        <v>10.357777838718613</v>
      </c>
      <c r="O137" s="541"/>
      <c r="P137" s="127" t="str">
        <f>IF(B138="yes",IF(AND(ISNUMBER(H137),H137&lt;F137),"Choose a higher rate",IF(AND(ISNUMBER(H137),H137&gt;J137),"Choose a lower rate",IF(AND(R123="External gains",SUM(L137:L141)&lt;L123),"Ext. gains will not cover unallowable exps",""))),"")</f>
        <v/>
      </c>
      <c r="Q137" s="7"/>
      <c r="R137" s="7"/>
      <c r="S137" s="7"/>
      <c r="T137" s="35"/>
      <c r="V137" s="338"/>
    </row>
    <row r="138" spans="1:24" ht="4.5" customHeight="1" x14ac:dyDescent="0.2">
      <c r="A138" s="14"/>
      <c r="B138" s="125" t="str">
        <f>IF(N$67="","no","yes")</f>
        <v>yes</v>
      </c>
      <c r="C138" s="125"/>
      <c r="D138" s="8"/>
      <c r="E138" s="8"/>
      <c r="F138" s="525"/>
      <c r="G138" s="525"/>
      <c r="H138" s="525"/>
      <c r="I138" s="525"/>
      <c r="J138" s="582"/>
      <c r="K138" s="582"/>
      <c r="L138" s="546"/>
      <c r="M138" s="546"/>
      <c r="N138" s="515"/>
      <c r="O138" s="515"/>
      <c r="P138" s="75"/>
      <c r="Q138" s="7"/>
      <c r="R138" s="7"/>
      <c r="S138" s="128"/>
      <c r="T138" s="35"/>
      <c r="V138" s="339"/>
    </row>
    <row r="139" spans="1:24" x14ac:dyDescent="0.2">
      <c r="A139" s="14"/>
      <c r="B139" s="123" t="s">
        <v>91</v>
      </c>
      <c r="C139" s="123"/>
      <c r="D139" s="8"/>
      <c r="E139" s="8"/>
      <c r="F139" s="501">
        <f>IF(B140="no","",IF($B$136="yes",IF(AND($B$138="yes",ISNUMBER($H$137)),$H$137,MAX(ROUND($C$144,2),ROUND(E144,2))),IF(AND($B$138="yes",ISNUMBER($H$137)),$H$137,IF(SampleSwitch="No",ROUND($E$144,2),E144))))</f>
        <v>12</v>
      </c>
      <c r="G139" s="501"/>
      <c r="H139" s="544">
        <v>15</v>
      </c>
      <c r="I139" s="545"/>
      <c r="J139" s="510" t="str">
        <f>IF(B140="yes","(no maximum)","")</f>
        <v>(no maximum)</v>
      </c>
      <c r="K139" s="510"/>
      <c r="L139" s="556">
        <f>IF(AND(ISNUMBER(F139),ISNUMBER(H139)),ROUND(($F$64*P67*H139),2)+($L$126*P67)-ROUND(($L$122*P67),2),"")</f>
        <v>666.2199999999998</v>
      </c>
      <c r="M139" s="556"/>
      <c r="N139" s="541">
        <f>IF(AND(ISNUMBER(F139),ISNUMBER(H139)),IFERROR(L139/(($L$122*P67)/365),0),"")</f>
        <v>104.19607537312918</v>
      </c>
      <c r="O139" s="541"/>
      <c r="P139" s="127" t="str">
        <f>IF(B140="yes",IF(AND(ISNUMBER(H139),H139&lt;F139),"Choose a higher rate",IF(AND(R123="External gains",SUM(L137:L141)&lt;L123),"Ext. gains will not cover unallowable exps","")),"")</f>
        <v/>
      </c>
      <c r="Q139" s="7"/>
      <c r="R139" s="7"/>
      <c r="S139" s="124"/>
      <c r="T139" s="35"/>
      <c r="V139" s="338"/>
      <c r="W139" s="340"/>
    </row>
    <row r="140" spans="1:24" ht="4.5" customHeight="1" x14ac:dyDescent="0.2">
      <c r="A140" s="14"/>
      <c r="B140" s="125" t="str">
        <f>IF(P$67="","no","yes")</f>
        <v>yes</v>
      </c>
      <c r="C140" s="125"/>
      <c r="D140" s="8"/>
      <c r="E140" s="8"/>
      <c r="F140" s="525"/>
      <c r="G140" s="525"/>
      <c r="H140" s="525"/>
      <c r="I140" s="525"/>
      <c r="J140" s="582"/>
      <c r="K140" s="582"/>
      <c r="L140" s="546"/>
      <c r="M140" s="546"/>
      <c r="N140" s="515"/>
      <c r="O140" s="515"/>
      <c r="P140" s="75"/>
      <c r="Q140" s="7"/>
      <c r="R140" s="7"/>
      <c r="S140" s="128"/>
      <c r="T140" s="35"/>
      <c r="V140" s="339"/>
    </row>
    <row r="141" spans="1:24" x14ac:dyDescent="0.2">
      <c r="A141" s="14"/>
      <c r="B141" s="123" t="s">
        <v>92</v>
      </c>
      <c r="C141" s="123"/>
      <c r="D141" s="8"/>
      <c r="E141" s="8"/>
      <c r="F141" s="501">
        <f>IF(B142="no","",IF($B$136="yes",IF(AND($B$138="yes",ISNUMBER($H$137)),$H$137,MAX(ROUND($H$135,2),ROUND(E144,2))),IF(AND($B$138="yes",ISNUMBER($H$137)),$H$137,IF(SampleSwitch="No",ROUND($E$144,2),E144))))</f>
        <v>12</v>
      </c>
      <c r="G141" s="501"/>
      <c r="H141" s="544">
        <v>20</v>
      </c>
      <c r="I141" s="545"/>
      <c r="J141" s="510" t="str">
        <f>IF(B142="yes","(no maximum)","")</f>
        <v>(no maximum)</v>
      </c>
      <c r="K141" s="510"/>
      <c r="L141" s="556">
        <f>IF(AND(ISNUMBER(F141),ISNUMBER(H141)),ROUND(($F$64*R67*H141),2)+($L$126*R67)-ROUND(($L$122*R67),2),"")</f>
        <v>833.1099999999999</v>
      </c>
      <c r="M141" s="556"/>
      <c r="N141" s="541">
        <f>IF(AND(ISNUMBER(F141),ISNUMBER(H141)),IFERROR(L141/(($L$122*R67)/365),0),"")</f>
        <v>260.59497569603934</v>
      </c>
      <c r="O141" s="541"/>
      <c r="P141" s="127" t="str">
        <f>IF(B142="yes",IF(AND(ISNUMBER(H141),H141&lt;F141),"Choose a higher rate",IF(AND(R123="External gains",SUM(L137:L141)&lt;L123),"Ext. gains will not cover unallowable exps","")),"")</f>
        <v/>
      </c>
      <c r="Q141" s="7"/>
      <c r="R141" s="7"/>
      <c r="S141" s="7"/>
      <c r="T141" s="35"/>
      <c r="V141" s="339"/>
    </row>
    <row r="142" spans="1:24" ht="4.5" customHeight="1" x14ac:dyDescent="0.2">
      <c r="A142" s="14"/>
      <c r="B142" s="125" t="str">
        <f>IF(R$67="","no","yes")</f>
        <v>yes</v>
      </c>
      <c r="C142" s="125"/>
      <c r="D142" s="8"/>
      <c r="E142" s="8"/>
      <c r="F142" s="525"/>
      <c r="G142" s="525"/>
      <c r="H142" s="525"/>
      <c r="I142" s="525"/>
      <c r="J142" s="582"/>
      <c r="K142" s="582"/>
      <c r="L142" s="546"/>
      <c r="M142" s="546"/>
      <c r="N142" s="515"/>
      <c r="O142" s="515"/>
      <c r="P142" s="7"/>
      <c r="Q142" s="7"/>
      <c r="R142" s="7"/>
      <c r="S142" s="34"/>
      <c r="T142" s="35"/>
      <c r="V142" s="339"/>
    </row>
    <row r="143" spans="1:24" x14ac:dyDescent="0.2">
      <c r="A143" s="14"/>
      <c r="B143" s="8"/>
      <c r="C143" s="8"/>
      <c r="D143" s="8"/>
      <c r="E143" s="8"/>
      <c r="F143" s="8"/>
      <c r="G143" s="8"/>
      <c r="H143" s="8"/>
      <c r="I143" s="8"/>
      <c r="J143" s="8"/>
      <c r="K143" s="18"/>
      <c r="L143" s="575">
        <f>SUM(L135:L141)</f>
        <v>1431.1199999999997</v>
      </c>
      <c r="M143" s="575"/>
      <c r="N143" s="609">
        <f>IFERROR(L143/(($L$122)/365),"")</f>
        <v>44.765118846024635</v>
      </c>
      <c r="O143" s="609"/>
      <c r="P143" s="7"/>
      <c r="Q143" s="7"/>
      <c r="R143" s="7"/>
      <c r="S143" s="34"/>
      <c r="T143" s="35"/>
    </row>
    <row r="144" spans="1:24" hidden="1" x14ac:dyDescent="0.2">
      <c r="A144" s="65"/>
      <c r="B144" s="94" t="s">
        <v>101</v>
      </c>
      <c r="C144" s="129">
        <f>IFERROR(MAX(ROUND(($L$122*L67*425/365-(L125-E145)-H46)/($F$64*L67),3),0),"")</f>
        <v>10.712</v>
      </c>
      <c r="D144" s="94" t="s">
        <v>124</v>
      </c>
      <c r="E144" s="130">
        <f>IFERROR(ROUND(L122/F64,3),"")</f>
        <v>11.669</v>
      </c>
      <c r="F144" s="131" t="s">
        <v>100</v>
      </c>
      <c r="G144" s="129">
        <f>IFERROR(ROUND((L122*425/365-H56)/F64,3),"")</f>
        <v>12.936999999999999</v>
      </c>
      <c r="H144" s="131" t="s">
        <v>106</v>
      </c>
      <c r="I144" s="574">
        <f>IFERROR(ROUNDDOWN(MIN(L122*L67*60/365-H46-L135+E145,SUM(L137:L141)-I145),0),0)</f>
        <v>284</v>
      </c>
      <c r="J144" s="574"/>
      <c r="K144" s="94"/>
      <c r="L144" s="94" t="s">
        <v>108</v>
      </c>
      <c r="M144" s="94" t="str">
        <f>IF(AND($B$136="yes",SUM($L$137:$L$141,I145*-1)&gt;0,$H$135&lt;$J$135),"yes","no")</f>
        <v>yes</v>
      </c>
      <c r="N144" s="94"/>
      <c r="O144" s="94"/>
      <c r="P144" s="132"/>
      <c r="Q144" s="71"/>
      <c r="R144" s="71"/>
      <c r="S144" s="71"/>
      <c r="T144" s="71"/>
    </row>
    <row r="145" spans="1:56" hidden="1" x14ac:dyDescent="0.2">
      <c r="A145" s="65"/>
      <c r="B145" s="133"/>
      <c r="C145" s="129"/>
      <c r="D145" s="94" t="s">
        <v>135</v>
      </c>
      <c r="E145" s="134">
        <f>IF(L125=0,0,IF(ISNUMBER(L123),IF(R123="Dept. subsidies",MIN(L123,L125),L123-I145),0))</f>
        <v>0</v>
      </c>
      <c r="F145" s="133"/>
      <c r="G145" s="129"/>
      <c r="H145" s="94" t="s">
        <v>134</v>
      </c>
      <c r="I145" s="135">
        <f>IF(ISNUMBER(L123),IF(R123="External gains",MIN(L123,SUM(L137:L141)),L123-E145),0)</f>
        <v>0</v>
      </c>
      <c r="J145" s="136"/>
      <c r="K145" s="94"/>
      <c r="L145" s="94"/>
      <c r="M145" s="94"/>
      <c r="N145" s="94"/>
      <c r="O145" s="94"/>
      <c r="P145" s="132"/>
      <c r="Q145" s="71"/>
      <c r="R145" s="71"/>
      <c r="S145" s="71"/>
      <c r="T145" s="71"/>
    </row>
    <row r="146" spans="1:56" ht="6" customHeight="1" x14ac:dyDescent="0.2">
      <c r="A146" s="14"/>
      <c r="B146" s="8"/>
      <c r="C146" s="8"/>
      <c r="D146" s="8"/>
      <c r="E146" s="8"/>
      <c r="F146" s="8"/>
      <c r="G146" s="8"/>
      <c r="H146" s="8"/>
      <c r="I146" s="8"/>
      <c r="J146" s="8"/>
      <c r="K146" s="18"/>
      <c r="L146" s="18"/>
      <c r="M146" s="18"/>
      <c r="N146" s="18"/>
      <c r="O146" s="18"/>
      <c r="P146" s="120"/>
      <c r="Q146" s="34"/>
      <c r="R146" s="34"/>
      <c r="S146" s="34"/>
      <c r="T146" s="35"/>
    </row>
    <row r="147" spans="1:56" x14ac:dyDescent="0.2">
      <c r="A147" s="14"/>
      <c r="B147" s="86" t="str">
        <f>IF(M144="yes","You may elect to keep a portion of any excess revenue (i.e. gain) from sales to external customers in the service center account to add to internal reserves.","")</f>
        <v>You may elect to keep a portion of any excess revenue (i.e. gain) from sales to external customers in the service center account to add to internal reserves.</v>
      </c>
      <c r="C147" s="86"/>
      <c r="D147" s="137"/>
      <c r="E147" s="137"/>
      <c r="F147" s="137"/>
      <c r="G147" s="137"/>
      <c r="H147" s="137"/>
      <c r="I147" s="137"/>
      <c r="J147" s="137"/>
      <c r="K147" s="92"/>
      <c r="L147" s="92"/>
      <c r="M147" s="92"/>
      <c r="N147" s="92"/>
      <c r="O147" s="92"/>
      <c r="P147" s="138"/>
      <c r="Q147" s="139"/>
      <c r="R147" s="139"/>
      <c r="S147" s="140"/>
      <c r="T147" s="35"/>
    </row>
    <row r="148" spans="1:56" x14ac:dyDescent="0.2">
      <c r="A148" s="14"/>
      <c r="B148" s="86" t="str">
        <f>IF(M144="yes","The maximum amount you can allocate for this purpose is "&amp;TEXT(MAX(I144,0),"$#,##0.;($#,##0)"),"")</f>
        <v>The maximum amount you can allocate for this purpose is $284.</v>
      </c>
      <c r="C148" s="86"/>
      <c r="D148" s="137"/>
      <c r="E148" s="137"/>
      <c r="F148" s="137"/>
      <c r="G148" s="137"/>
      <c r="H148" s="137"/>
      <c r="I148" s="139"/>
      <c r="J148" s="86"/>
      <c r="K148" s="86"/>
      <c r="L148" s="86"/>
      <c r="M148" s="86"/>
      <c r="N148" s="86"/>
      <c r="O148" s="86"/>
      <c r="P148" s="86"/>
      <c r="Q148" s="86"/>
      <c r="R148" s="141"/>
      <c r="S148" s="7"/>
      <c r="T148" s="35"/>
    </row>
    <row r="149" spans="1:56" x14ac:dyDescent="0.2">
      <c r="A149" s="14"/>
      <c r="B149" s="86" t="str">
        <f>IF(M144="yes","How much external gain, if any, would you like to allocate?","")</f>
        <v>How much external gain, if any, would you like to allocate?</v>
      </c>
      <c r="C149" s="86"/>
      <c r="D149" s="137"/>
      <c r="E149" s="137"/>
      <c r="F149" s="137"/>
      <c r="G149" s="137"/>
      <c r="H149" s="86"/>
      <c r="I149" s="503">
        <v>100</v>
      </c>
      <c r="J149" s="503"/>
      <c r="K149" s="142" t="str">
        <f>IF(AND(M144="yes",ISNUMBER(I149),I149&gt;I144),"Choose a lower amount","")</f>
        <v/>
      </c>
      <c r="L149" s="86"/>
      <c r="M149" s="143"/>
      <c r="N149" s="139"/>
      <c r="O149" s="139"/>
      <c r="P149" s="139"/>
      <c r="Q149" s="139"/>
      <c r="R149" s="144" t="str">
        <f>IF(M144="yes","Wondering why you'd use this option?  Click","")</f>
        <v>Wondering why you'd use this option?  Click</v>
      </c>
      <c r="S149" s="183" t="str">
        <f>IF(M144="yes","here.","")</f>
        <v>here.</v>
      </c>
      <c r="T149" s="35"/>
      <c r="BA149" s="182" t="s">
        <v>161</v>
      </c>
      <c r="BB149" s="182"/>
      <c r="BC149" s="341"/>
      <c r="BD149" s="341"/>
    </row>
    <row r="150" spans="1:56" ht="4.5" customHeight="1" thickBot="1" x14ac:dyDescent="0.25">
      <c r="A150" s="29"/>
      <c r="B150" s="30"/>
      <c r="C150" s="30"/>
      <c r="D150" s="30"/>
      <c r="E150" s="30"/>
      <c r="F150" s="30"/>
      <c r="G150" s="30"/>
      <c r="H150" s="30"/>
      <c r="I150" s="30"/>
      <c r="J150" s="30"/>
      <c r="K150" s="30"/>
      <c r="L150" s="30"/>
      <c r="M150" s="30"/>
      <c r="N150" s="30"/>
      <c r="O150" s="30"/>
      <c r="P150" s="89"/>
      <c r="Q150" s="89"/>
      <c r="R150" s="88"/>
      <c r="S150" s="88"/>
      <c r="T150" s="32"/>
      <c r="BA150" s="452" t="str">
        <f>"You can choose to combine some external gains with internal gains in the RBSA speedtype, as long as the total does not exceed 60 days' worth of internal expenses."&amp;"  The external component will become a permanent part of the internal operations (i.e. the combination can't be reversed).  Doing this in the upcoming year ("&amp;Control!C6&amp;") would enable you to charge a lower internal rate in the following year ("&amp;Control!C5&amp;").  This might be helpful if you're keeping your internal rates lower than cost and using external gains to cover the gap."</f>
        <v>You can choose to combine some external gains with internal gains in the RBSA speedtype, as long as the total does not exceed 60 days' worth of internal expenses.  The external component will become a permanent part of the internal operations (i.e. the combination can't be reversed).  Doing this in the upcoming year (FY24) would enable you to charge a lower internal rate in the following year (FY25).  This might be helpful if you're keeping your internal rates lower than cost and using external gains to cover the gap.</v>
      </c>
      <c r="BB150" s="452"/>
    </row>
    <row r="151" spans="1:56" ht="13.5" thickBot="1" x14ac:dyDescent="0.25">
      <c r="B151" s="8"/>
      <c r="C151" s="8"/>
      <c r="D151" s="8"/>
      <c r="E151" s="8"/>
      <c r="F151" s="8"/>
      <c r="G151" s="8"/>
      <c r="H151" s="145"/>
      <c r="I151" s="145"/>
      <c r="J151" s="8"/>
      <c r="K151" s="18"/>
      <c r="L151" s="18"/>
      <c r="M151" s="18"/>
      <c r="N151" s="18"/>
      <c r="O151" s="18"/>
      <c r="P151" s="120"/>
      <c r="Q151" s="146"/>
      <c r="R151" s="147"/>
      <c r="S151" s="34"/>
      <c r="T151" s="34"/>
      <c r="BA151" s="452"/>
      <c r="BB151" s="452"/>
    </row>
    <row r="152" spans="1:56" ht="21.75" customHeight="1" x14ac:dyDescent="0.2">
      <c r="A152" s="11"/>
      <c r="B152" s="403" t="s">
        <v>241</v>
      </c>
      <c r="C152" s="399" t="str">
        <f>IF(Q130="","Complete Step 5 first","Summary &amp; Verification")</f>
        <v>Summary &amp; Verification</v>
      </c>
      <c r="D152" s="399"/>
      <c r="E152" s="399"/>
      <c r="F152" s="399"/>
      <c r="G152" s="399"/>
      <c r="H152" s="399"/>
      <c r="I152" s="399"/>
      <c r="J152" s="399"/>
      <c r="K152" s="399"/>
      <c r="L152" s="399"/>
      <c r="M152" s="399"/>
      <c r="N152" s="399"/>
      <c r="O152" s="399"/>
      <c r="P152" s="399"/>
      <c r="Q152" s="399"/>
      <c r="R152" s="399"/>
      <c r="S152" s="399"/>
      <c r="T152" s="13"/>
      <c r="V152" s="326"/>
      <c r="W152" s="326"/>
      <c r="X152" s="326"/>
      <c r="BA152" s="452"/>
      <c r="BB152" s="452"/>
    </row>
    <row r="153" spans="1:56" x14ac:dyDescent="0.2">
      <c r="A153" s="14"/>
      <c r="B153" s="605"/>
      <c r="C153" s="148"/>
      <c r="D153" s="148"/>
      <c r="E153" s="148"/>
      <c r="F153" s="148"/>
      <c r="G153" s="148"/>
      <c r="H153" s="98"/>
      <c r="I153" s="98"/>
      <c r="J153" s="98"/>
      <c r="K153" s="98"/>
      <c r="L153" s="584" t="s">
        <v>80</v>
      </c>
      <c r="M153" s="584"/>
      <c r="N153" s="149"/>
      <c r="O153" s="149"/>
      <c r="P153" s="7"/>
      <c r="Q153" s="7"/>
      <c r="R153" s="7"/>
      <c r="S153" s="149"/>
      <c r="T153" s="150"/>
      <c r="BA153" s="452"/>
      <c r="BB153" s="452"/>
    </row>
    <row r="154" spans="1:56" ht="15" customHeight="1" thickBot="1" x14ac:dyDescent="0.25">
      <c r="A154" s="14"/>
      <c r="B154" s="606"/>
      <c r="C154" s="151"/>
      <c r="D154" s="151"/>
      <c r="E154" s="151"/>
      <c r="F154" s="151"/>
      <c r="G154" s="151"/>
      <c r="H154" s="152"/>
      <c r="I154" s="152"/>
      <c r="J154" s="152"/>
      <c r="K154" s="152"/>
      <c r="L154" s="614" t="str">
        <f>Control!$C$6</f>
        <v>FY24</v>
      </c>
      <c r="M154" s="614"/>
      <c r="N154" s="153" t="str">
        <f>IF(OR(AND(ISBLANK(H135),B136="yes"),AND(ISBLANK(H137),B138="yes"),AND(ISBLANK(H139),B140="yes"),AND(ISBLANK(H141),B142="yes")),"Select all rates first","")</f>
        <v/>
      </c>
      <c r="O154" s="154"/>
      <c r="P154" s="7"/>
      <c r="Q154" s="7"/>
      <c r="R154" s="7"/>
      <c r="S154" s="154"/>
      <c r="T154" s="20"/>
      <c r="V154" s="86"/>
      <c r="BA154" s="452"/>
      <c r="BB154" s="452"/>
    </row>
    <row r="155" spans="1:56" ht="15" customHeight="1" x14ac:dyDescent="0.2">
      <c r="A155" s="14"/>
      <c r="B155" s="155" t="s">
        <v>117</v>
      </c>
      <c r="C155" s="155"/>
      <c r="D155" s="156"/>
      <c r="E155" s="156"/>
      <c r="F155" s="156"/>
      <c r="G155" s="157"/>
      <c r="L155" s="610">
        <f>H46</f>
        <v>650</v>
      </c>
      <c r="M155" s="610"/>
      <c r="N155" s="34" t="str">
        <f>IF(ISERROR(ROUND(L155/(($L$122*$L$67)/365),0)),"",ROUND(L155/(($L$122*$L$67)/365),0)&amp;" days' "&amp;Control!C6&amp;" internal reserve")</f>
        <v>51 days' FY24 internal reserve</v>
      </c>
      <c r="P155" s="7"/>
      <c r="Q155" s="7"/>
      <c r="R155" s="7"/>
      <c r="S155" s="158"/>
      <c r="T155" s="159"/>
      <c r="V155" s="86"/>
      <c r="BA155" s="452"/>
      <c r="BB155" s="452"/>
    </row>
    <row r="156" spans="1:56" ht="4.5" customHeight="1" x14ac:dyDescent="0.2">
      <c r="A156" s="14"/>
      <c r="B156" s="160"/>
      <c r="C156" s="160"/>
      <c r="D156" s="157"/>
      <c r="E156" s="157"/>
      <c r="F156" s="157"/>
      <c r="G156" s="157"/>
      <c r="H156" s="161"/>
      <c r="I156" s="161"/>
      <c r="L156" s="611"/>
      <c r="M156" s="611"/>
      <c r="P156" s="7"/>
      <c r="Q156" s="7"/>
      <c r="R156" s="7"/>
      <c r="S156" s="158"/>
      <c r="T156" s="159"/>
      <c r="V156" s="110"/>
      <c r="W156" s="110"/>
      <c r="X156" s="110"/>
      <c r="BA156" s="452"/>
      <c r="BB156" s="452"/>
    </row>
    <row r="157" spans="1:56" ht="25.5" customHeight="1" x14ac:dyDescent="0.2">
      <c r="A157" s="14"/>
      <c r="D157" s="499" t="s">
        <v>76</v>
      </c>
      <c r="E157" s="499"/>
      <c r="F157" s="526" t="s">
        <v>93</v>
      </c>
      <c r="G157" s="526"/>
      <c r="H157" s="526" t="s">
        <v>94</v>
      </c>
      <c r="I157" s="526"/>
      <c r="J157" s="526" t="s">
        <v>96</v>
      </c>
      <c r="K157" s="546"/>
      <c r="L157" s="576" t="s">
        <v>97</v>
      </c>
      <c r="M157" s="576"/>
      <c r="O157" s="162"/>
      <c r="P157" s="7"/>
      <c r="Q157" s="7"/>
      <c r="R157" s="7"/>
      <c r="S157" s="158"/>
      <c r="T157" s="159"/>
      <c r="V157" s="110"/>
      <c r="W157" s="110"/>
      <c r="X157" s="110"/>
      <c r="BA157" s="498" t="s">
        <v>180</v>
      </c>
      <c r="BB157" s="498"/>
    </row>
    <row r="158" spans="1:56" x14ac:dyDescent="0.2">
      <c r="A158" s="14"/>
      <c r="B158" s="41" t="str">
        <f>IF(SampleSwitch="No","Units Sold","$ Inventory Sold")</f>
        <v>Units Sold</v>
      </c>
      <c r="C158" s="41"/>
      <c r="D158" s="666">
        <f>IFERROR(L67*$F$64,"")</f>
        <v>400</v>
      </c>
      <c r="E158" s="666"/>
      <c r="F158" s="666">
        <f>IFERROR(N67*$F$64,"")</f>
        <v>300</v>
      </c>
      <c r="G158" s="666"/>
      <c r="H158" s="666">
        <f>IFERROR(P67*$F$64,"")</f>
        <v>200</v>
      </c>
      <c r="I158" s="666"/>
      <c r="J158" s="666">
        <f>IFERROR(R67*$F$64,"")</f>
        <v>100</v>
      </c>
      <c r="K158" s="666"/>
      <c r="L158" s="583"/>
      <c r="M158" s="583"/>
      <c r="N158" s="163"/>
      <c r="O158" s="164"/>
      <c r="P158" s="7"/>
      <c r="Q158" s="7"/>
      <c r="R158" s="7"/>
      <c r="S158" s="158"/>
      <c r="T158" s="159"/>
      <c r="V158" s="110"/>
      <c r="W158" s="110"/>
      <c r="X158" s="110"/>
    </row>
    <row r="159" spans="1:56" x14ac:dyDescent="0.2">
      <c r="A159" s="14"/>
      <c r="B159" s="41" t="str">
        <f>IF(SampleSwitch="Yes","Margin ","")&amp;"Rate"</f>
        <v>Rate</v>
      </c>
      <c r="C159" s="41"/>
      <c r="D159" s="539">
        <f>H135</f>
        <v>10</v>
      </c>
      <c r="E159" s="539"/>
      <c r="F159" s="539">
        <f>H137</f>
        <v>12</v>
      </c>
      <c r="G159" s="539"/>
      <c r="H159" s="539">
        <f>H139</f>
        <v>15</v>
      </c>
      <c r="I159" s="539"/>
      <c r="J159" s="539">
        <f>H141</f>
        <v>20</v>
      </c>
      <c r="K159" s="539"/>
      <c r="L159" s="583"/>
      <c r="M159" s="583"/>
      <c r="N159" s="163"/>
      <c r="O159" s="165"/>
      <c r="P159" s="7"/>
      <c r="Q159" s="7"/>
      <c r="R159" s="7"/>
      <c r="S159" s="158"/>
      <c r="T159" s="159"/>
      <c r="V159" s="110"/>
      <c r="W159" s="110"/>
      <c r="X159" s="110"/>
    </row>
    <row r="160" spans="1:56" ht="4.5" customHeight="1" x14ac:dyDescent="0.2">
      <c r="A160" s="14"/>
      <c r="D160" s="540"/>
      <c r="E160" s="540"/>
      <c r="F160" s="540"/>
      <c r="G160" s="540"/>
      <c r="H160" s="540"/>
      <c r="I160" s="540"/>
      <c r="J160" s="577"/>
      <c r="K160" s="577"/>
      <c r="L160" s="583"/>
      <c r="M160" s="583"/>
      <c r="N160" s="163"/>
      <c r="P160" s="7"/>
      <c r="Q160" s="7"/>
      <c r="R160" s="7"/>
      <c r="S160" s="158"/>
      <c r="T160" s="159"/>
      <c r="V160" s="110"/>
      <c r="W160" s="110"/>
      <c r="X160" s="110"/>
    </row>
    <row r="161" spans="1:24" x14ac:dyDescent="0.2">
      <c r="A161" s="14"/>
      <c r="B161" s="41" t="str">
        <f>IF(SampleSwitch="Yes","Margin ","")&amp;"Revenue"</f>
        <v>Revenue</v>
      </c>
      <c r="C161" s="41"/>
      <c r="D161" s="551">
        <f>IFERROR(ROUND(D158*D159,2),"")</f>
        <v>4000</v>
      </c>
      <c r="E161" s="551"/>
      <c r="F161" s="551">
        <f t="shared" ref="F161:K161" si="3">IFERROR(ROUND(F158*F159,2),"")</f>
        <v>3600</v>
      </c>
      <c r="G161" s="551"/>
      <c r="H161" s="551">
        <f t="shared" si="3"/>
        <v>3000</v>
      </c>
      <c r="I161" s="551"/>
      <c r="J161" s="551">
        <f t="shared" si="3"/>
        <v>2000</v>
      </c>
      <c r="K161" s="551">
        <f t="shared" si="3"/>
        <v>0</v>
      </c>
      <c r="L161" s="572">
        <f>IF(LEFT($N$154,3)="Sel","",SUM(D161:J161))</f>
        <v>12600</v>
      </c>
      <c r="M161" s="572"/>
      <c r="N161" s="9"/>
      <c r="O161" s="166"/>
      <c r="P161" s="7"/>
      <c r="Q161" s="7"/>
      <c r="R161" s="7"/>
      <c r="S161" s="158"/>
      <c r="T161" s="159"/>
      <c r="V161" s="110"/>
      <c r="W161" s="110"/>
      <c r="X161" s="342"/>
    </row>
    <row r="162" spans="1:24" x14ac:dyDescent="0.2">
      <c r="A162" s="14"/>
      <c r="B162" s="41" t="str">
        <f>IF(SampleSwitch="Yes","Margin ","")&amp;"Expenses"</f>
        <v>Expenses</v>
      </c>
      <c r="C162" s="41"/>
      <c r="D162" s="551">
        <f>IFERROR(ROUND($L$122*L67,2)*-1,"")</f>
        <v>-4667.55</v>
      </c>
      <c r="E162" s="551"/>
      <c r="F162" s="551">
        <f>IFERROR(ROUND($L$122*N67,2)*-1,"")</f>
        <v>-3500.66</v>
      </c>
      <c r="G162" s="551"/>
      <c r="H162" s="551">
        <f>IFERROR(ROUND($L$122*P67,2)*-1,"")</f>
        <v>-2333.7800000000002</v>
      </c>
      <c r="I162" s="551"/>
      <c r="J162" s="551">
        <f>IFERROR(ROUND($L$122*R67,2)*-1,"")</f>
        <v>-1166.8900000000001</v>
      </c>
      <c r="K162" s="551"/>
      <c r="L162" s="572">
        <f>IF(LEFT($N$154,3)="Sel","",SUM(D162:J162))</f>
        <v>-11668.88</v>
      </c>
      <c r="M162" s="572"/>
      <c r="N162" s="9"/>
      <c r="O162" s="166"/>
      <c r="P162" s="7"/>
      <c r="Q162" s="7"/>
      <c r="R162" s="7"/>
      <c r="S162" s="158"/>
      <c r="T162" s="159"/>
      <c r="V162" s="110"/>
      <c r="W162" s="110"/>
      <c r="X162" s="343"/>
    </row>
    <row r="163" spans="1:24" x14ac:dyDescent="0.2">
      <c r="A163" s="14"/>
      <c r="B163" s="41" t="s">
        <v>81</v>
      </c>
      <c r="C163" s="41"/>
      <c r="D163" s="551">
        <f>IF(AND(ISNUMBER(L125),L125&lt;&gt;0),L125,"")</f>
        <v>500</v>
      </c>
      <c r="E163" s="551"/>
      <c r="F163" s="552" t="str">
        <f>IFERROR(IF($B$136="yes","n/a ",$L$126*N67),"")</f>
        <v xml:space="preserve">n/a </v>
      </c>
      <c r="G163" s="552"/>
      <c r="H163" s="552" t="str">
        <f>IFERROR(IF($B$136="yes","n/a ",$L$126*P67),"")</f>
        <v xml:space="preserve">n/a </v>
      </c>
      <c r="I163" s="552"/>
      <c r="J163" s="552" t="str">
        <f>IFERROR(IF($B$136="yes","n/a ",$L$126*R67),"")</f>
        <v xml:space="preserve">n/a </v>
      </c>
      <c r="K163" s="552"/>
      <c r="L163" s="572">
        <f>IF(LEFT($N$154,3)="Sel","",SUM(D163:J163))</f>
        <v>500</v>
      </c>
      <c r="M163" s="572"/>
      <c r="N163" s="9"/>
      <c r="O163" s="167"/>
      <c r="P163" s="7"/>
      <c r="Q163" s="7"/>
      <c r="R163" s="7"/>
      <c r="S163" s="158"/>
      <c r="T163" s="159"/>
      <c r="V163" s="110"/>
      <c r="W163" s="110"/>
      <c r="X163" s="343"/>
    </row>
    <row r="164" spans="1:24" x14ac:dyDescent="0.2">
      <c r="A164" s="14"/>
      <c r="B164" s="168" t="s">
        <v>82</v>
      </c>
      <c r="C164" s="168"/>
      <c r="D164" s="553">
        <f>IFERROR(SUM(F164:J164)*-1,"")</f>
        <v>100</v>
      </c>
      <c r="E164" s="553"/>
      <c r="F164" s="551">
        <f>IF($M$144="yes",$I$149*-1*((F161+F162)/(SUM($F$161:$K$162))),0)</f>
        <v>-6.2139153171073556</v>
      </c>
      <c r="G164" s="551"/>
      <c r="H164" s="553">
        <f>IF($M$144="yes",$I$149*-1*((H161+H162)/(SUM($F$161:$K$162))),0)</f>
        <v>-41.67339100627396</v>
      </c>
      <c r="I164" s="553"/>
      <c r="J164" s="553">
        <f>IF($M$144="yes",$I$149*-1*((J161+J162)/(SUM($F$161:$K$162))),0)</f>
        <v>-52.11269367661869</v>
      </c>
      <c r="K164" s="553"/>
      <c r="L164" s="573">
        <f>IF(LEFT($N$154,3)="Sel","",SUM(D164:J164))</f>
        <v>0</v>
      </c>
      <c r="M164" s="573"/>
      <c r="N164" s="9"/>
      <c r="O164" s="166"/>
      <c r="P164" s="7"/>
      <c r="Q164" s="7"/>
      <c r="R164" s="7"/>
      <c r="S164" s="158"/>
      <c r="T164" s="159"/>
      <c r="V164" s="110"/>
      <c r="W164" s="110"/>
      <c r="X164" s="342"/>
    </row>
    <row r="165" spans="1:24" x14ac:dyDescent="0.2">
      <c r="A165" s="14"/>
      <c r="B165" s="160" t="s">
        <v>83</v>
      </c>
      <c r="C165" s="160"/>
      <c r="D165" s="538">
        <f>SUM(D161:D164)</f>
        <v>-67.550000000000182</v>
      </c>
      <c r="E165" s="538"/>
      <c r="F165" s="538">
        <f>SUM(F161:F164)</f>
        <v>93.126084682892795</v>
      </c>
      <c r="G165" s="538"/>
      <c r="H165" s="538">
        <f>SUM(H161:H164)</f>
        <v>624.54660899372584</v>
      </c>
      <c r="I165" s="538"/>
      <c r="J165" s="538">
        <f>SUM(J161:K164)</f>
        <v>780.99730632338117</v>
      </c>
      <c r="K165" s="538"/>
      <c r="L165" s="581">
        <f>SUM(D165:K165)</f>
        <v>1431.1199999999997</v>
      </c>
      <c r="M165" s="581"/>
      <c r="N165" s="9"/>
      <c r="O165" s="169"/>
      <c r="P165" s="7"/>
      <c r="Q165" s="7"/>
      <c r="R165" s="7"/>
      <c r="S165" s="158"/>
      <c r="T165" s="159"/>
      <c r="V165" s="110"/>
      <c r="W165" s="110"/>
      <c r="X165" s="110"/>
    </row>
    <row r="166" spans="1:24" ht="4.5" customHeight="1" x14ac:dyDescent="0.2">
      <c r="A166" s="14"/>
      <c r="B166" s="160"/>
      <c r="C166" s="160"/>
      <c r="D166" s="169"/>
      <c r="E166" s="169"/>
      <c r="F166" s="169"/>
      <c r="G166" s="169"/>
      <c r="H166" s="169"/>
      <c r="I166" s="169"/>
      <c r="J166" s="169"/>
      <c r="K166" s="169"/>
      <c r="L166" s="170"/>
      <c r="M166" s="170"/>
      <c r="N166" s="9"/>
      <c r="O166" s="169"/>
      <c r="P166" s="7"/>
      <c r="Q166" s="7"/>
      <c r="R166" s="7"/>
      <c r="S166" s="158"/>
      <c r="T166" s="159"/>
      <c r="V166" s="110"/>
      <c r="W166" s="110"/>
      <c r="X166" s="110"/>
    </row>
    <row r="167" spans="1:24" x14ac:dyDescent="0.2">
      <c r="A167" s="14"/>
      <c r="B167" s="41" t="str">
        <f>IF(AND(ISNUMBER(L123),L123&lt;&gt;0),"Unallowable Exps.","")</f>
        <v/>
      </c>
      <c r="C167" s="41"/>
      <c r="D167" s="552" t="str">
        <f>IF(AND(ISNUMBER(L123),L123&lt;&gt;0),E145*-1,"")</f>
        <v/>
      </c>
      <c r="E167" s="552"/>
      <c r="F167" s="552" t="str">
        <f>IF(AND(ISNUMBER(L123),L123&lt;&gt;0),($I$145*-1)*(F165/SUM($F$165:$K$165)),"")</f>
        <v/>
      </c>
      <c r="G167" s="552"/>
      <c r="H167" s="552" t="str">
        <f>IF(AND(ISNUMBER(L123),L123&lt;&gt;0),($I$145*-1)*(H165/SUM($F$165:$K$165)),"")</f>
        <v/>
      </c>
      <c r="I167" s="552"/>
      <c r="J167" s="552" t="str">
        <f>IF(AND(ISNUMBER(L123),L123&lt;&gt;0),($I$145*-1)*(J165/SUM($F$165:$K$165)),"")</f>
        <v/>
      </c>
      <c r="K167" s="552"/>
      <c r="L167" s="572" t="str">
        <f>IF(AND(ISNUMBER(L123),L123&lt;&gt;0),IF(LEFT($N$154,3)="Sel","",L123*-1),"")</f>
        <v/>
      </c>
      <c r="M167" s="572"/>
      <c r="N167" s="9"/>
      <c r="O167" s="167"/>
      <c r="P167" s="7"/>
      <c r="Q167" s="7"/>
      <c r="R167" s="7"/>
      <c r="S167" s="158"/>
      <c r="T167" s="159"/>
      <c r="V167" s="110"/>
      <c r="W167" s="110"/>
      <c r="X167" s="343"/>
    </row>
    <row r="168" spans="1:24" ht="4.5" customHeight="1" x14ac:dyDescent="0.2">
      <c r="A168" s="14"/>
      <c r="B168" s="160"/>
      <c r="C168" s="160"/>
      <c r="D168" s="157"/>
      <c r="E168" s="157"/>
      <c r="F168" s="157"/>
      <c r="G168" s="157"/>
      <c r="H168" s="161"/>
      <c r="I168" s="161"/>
      <c r="L168" s="578"/>
      <c r="M168" s="578"/>
      <c r="N168" s="9"/>
      <c r="P168" s="7"/>
      <c r="Q168" s="7"/>
      <c r="R168" s="7"/>
      <c r="S168" s="158"/>
      <c r="T168" s="159"/>
      <c r="V168" s="110"/>
      <c r="W168" s="110"/>
      <c r="X168" s="110"/>
    </row>
    <row r="169" spans="1:24" x14ac:dyDescent="0.2">
      <c r="A169" s="14"/>
      <c r="B169" s="41" t="str">
        <f>IF(SampleSwitch="no","","Net result of inventory (sold minus purchased)")</f>
        <v/>
      </c>
      <c r="C169" s="160"/>
      <c r="D169" s="157"/>
      <c r="E169" s="157"/>
      <c r="F169" s="157"/>
      <c r="G169" s="157"/>
      <c r="H169" s="161"/>
      <c r="I169" s="161"/>
      <c r="L169" s="578" t="str">
        <f>IF(SampleSwitch="no","",F64+F66*-1)</f>
        <v/>
      </c>
      <c r="M169" s="578"/>
      <c r="N169" s="34" t="str">
        <f>IF(SampleSwitch="no",IF(ISERROR(ROUND(L169/(($L$122*$L$67)/365),0)),"",ROUND(L169/(($L$122*$L$67)/365),0)&amp;" days' internal reserve"),"")</f>
        <v/>
      </c>
      <c r="P169" s="7"/>
      <c r="Q169" s="7"/>
      <c r="R169" s="7"/>
      <c r="S169" s="158"/>
      <c r="T169" s="159"/>
      <c r="V169" s="110"/>
      <c r="W169" s="110"/>
      <c r="X169" s="110"/>
    </row>
    <row r="170" spans="1:24" ht="4.5" customHeight="1" x14ac:dyDescent="0.2">
      <c r="A170" s="14"/>
      <c r="B170" s="41"/>
      <c r="C170" s="160"/>
      <c r="D170" s="157"/>
      <c r="E170" s="157"/>
      <c r="F170" s="157"/>
      <c r="G170" s="157"/>
      <c r="H170" s="161"/>
      <c r="I170" s="161"/>
      <c r="L170" s="171"/>
      <c r="M170" s="171"/>
      <c r="N170" s="34"/>
      <c r="P170" s="7"/>
      <c r="Q170" s="7"/>
      <c r="R170" s="7"/>
      <c r="S170" s="158"/>
      <c r="T170" s="159"/>
      <c r="V170" s="110"/>
      <c r="W170" s="110"/>
      <c r="X170" s="110"/>
    </row>
    <row r="171" spans="1:24" x14ac:dyDescent="0.2">
      <c r="A171" s="14"/>
      <c r="B171" s="160" t="s">
        <v>118</v>
      </c>
      <c r="C171" s="23"/>
      <c r="D171" s="157"/>
      <c r="E171" s="157"/>
      <c r="F171" s="157"/>
      <c r="G171" s="157"/>
      <c r="H171" s="161"/>
      <c r="I171" s="161"/>
      <c r="L171" s="572">
        <f>IF(LEFT(N154,3)="Sel","",L155+L165+IF(L167="",0,L167)+IF(L169="",0,L169))</f>
        <v>2081.12</v>
      </c>
      <c r="M171" s="572"/>
      <c r="N171" s="34" t="str">
        <f>IF(ISERROR(ROUND(L171/(($L$122*$L$67)/365),0)),"",ROUND(L171/(($L$122*$L$67)/365),0)&amp;" days' internal reserve")</f>
        <v>163 days' internal reserve</v>
      </c>
      <c r="P171" s="7"/>
      <c r="Q171" s="7"/>
      <c r="R171" s="7"/>
      <c r="S171" s="158"/>
      <c r="T171" s="159"/>
      <c r="V171" s="344"/>
      <c r="W171" s="344"/>
      <c r="X171" s="344"/>
    </row>
    <row r="172" spans="1:24" x14ac:dyDescent="0.2">
      <c r="A172" s="14"/>
      <c r="B172" s="23" t="s">
        <v>131</v>
      </c>
      <c r="C172" s="23"/>
      <c r="D172" s="157"/>
      <c r="E172" s="157"/>
      <c r="F172" s="157"/>
      <c r="G172" s="157"/>
      <c r="H172" s="161"/>
      <c r="I172" s="161"/>
      <c r="L172" s="578">
        <f>IF(LEFT(N154,3)="Sel","",IF(B136="no",0,MAX(0,SUM(F165:K165,I145*-1))*-1))</f>
        <v>-1498.6699999999998</v>
      </c>
      <c r="M172" s="578"/>
      <c r="P172" s="7"/>
      <c r="Q172" s="7"/>
      <c r="R172" s="7"/>
      <c r="S172" s="158"/>
      <c r="T172" s="159"/>
      <c r="V172" s="344"/>
      <c r="W172" s="344"/>
      <c r="X172" s="344"/>
    </row>
    <row r="173" spans="1:24" x14ac:dyDescent="0.2">
      <c r="A173" s="14"/>
      <c r="B173" s="23" t="s">
        <v>130</v>
      </c>
      <c r="C173" s="23"/>
      <c r="D173" s="157"/>
      <c r="E173" s="157"/>
      <c r="F173" s="157"/>
      <c r="G173" s="157"/>
      <c r="H173" s="161"/>
      <c r="I173" s="161"/>
      <c r="L173" s="612"/>
      <c r="M173" s="612"/>
      <c r="P173" s="7"/>
      <c r="Q173" s="7"/>
      <c r="R173" s="7"/>
      <c r="S173" s="158"/>
      <c r="T173" s="159"/>
      <c r="V173" s="344"/>
      <c r="W173" s="344"/>
      <c r="X173" s="344"/>
    </row>
    <row r="174" spans="1:24" x14ac:dyDescent="0.2">
      <c r="A174" s="14"/>
      <c r="B174" s="160" t="s">
        <v>119</v>
      </c>
      <c r="C174" s="160"/>
      <c r="D174" s="157"/>
      <c r="E174" s="157"/>
      <c r="F174" s="157"/>
      <c r="G174" s="157"/>
      <c r="H174" s="161"/>
      <c r="I174" s="161"/>
      <c r="L174" s="572">
        <f>IF(LEFT(N154,3)="Sel","",L171+L172+L173)</f>
        <v>582.45000000000005</v>
      </c>
      <c r="M174" s="572"/>
      <c r="N174" s="34" t="str">
        <f>IF(ISERROR(ROUND(L174/(($L$122*L67)/365),0)),"",ROUND(L174/(($L$122*L67)/365),0)&amp;" days' internal reserve")</f>
        <v>46 days' internal reserve</v>
      </c>
      <c r="P174" s="7"/>
      <c r="Q174" s="7"/>
      <c r="R174" s="7"/>
      <c r="S174" s="158"/>
      <c r="T174" s="159"/>
      <c r="V174" s="110"/>
      <c r="W174" s="110"/>
      <c r="X174" s="110"/>
    </row>
    <row r="175" spans="1:24" x14ac:dyDescent="0.2">
      <c r="A175" s="14"/>
      <c r="B175" s="41"/>
      <c r="C175" s="160"/>
      <c r="D175" s="157"/>
      <c r="E175" s="157"/>
      <c r="F175" s="157"/>
      <c r="G175" s="157"/>
      <c r="H175" s="161"/>
      <c r="I175" s="161"/>
      <c r="L175" s="170"/>
      <c r="M175" s="170"/>
      <c r="N175" s="34"/>
      <c r="P175" s="7"/>
      <c r="Q175" s="7"/>
      <c r="R175" s="7"/>
      <c r="S175" s="158"/>
      <c r="T175" s="159"/>
      <c r="V175" s="110"/>
      <c r="W175" s="110"/>
      <c r="X175" s="110"/>
    </row>
    <row r="176" spans="1:24" ht="4.5" customHeight="1" x14ac:dyDescent="0.2">
      <c r="A176" s="14"/>
      <c r="B176" s="160"/>
      <c r="C176" s="160"/>
      <c r="D176" s="157"/>
      <c r="E176" s="157"/>
      <c r="F176" s="157"/>
      <c r="G176" s="157"/>
      <c r="H176" s="161"/>
      <c r="I176" s="161"/>
      <c r="L176" s="578"/>
      <c r="M176" s="578"/>
      <c r="P176" s="7"/>
      <c r="Q176" s="163"/>
      <c r="R176" s="7"/>
      <c r="S176" s="158"/>
      <c r="T176" s="159"/>
      <c r="V176" s="110"/>
      <c r="W176" s="110"/>
      <c r="X176" s="110"/>
    </row>
    <row r="177" spans="1:25" x14ac:dyDescent="0.2">
      <c r="A177" s="14"/>
      <c r="B177" s="160" t="s">
        <v>78</v>
      </c>
      <c r="C177" s="160"/>
      <c r="D177" s="157"/>
      <c r="E177" s="157"/>
      <c r="F177" s="157"/>
      <c r="G177" s="157"/>
      <c r="L177" s="613">
        <f>MAX(0,SUM(L155,L161:L164)*-1)</f>
        <v>0</v>
      </c>
      <c r="M177" s="613"/>
      <c r="P177" s="7"/>
      <c r="Q177" s="7"/>
      <c r="R177" s="7"/>
      <c r="S177" s="161"/>
      <c r="T177" s="172"/>
      <c r="V177" s="110"/>
      <c r="W177" s="110"/>
      <c r="X177" s="110"/>
    </row>
    <row r="178" spans="1:25" x14ac:dyDescent="0.2">
      <c r="A178" s="14"/>
      <c r="B178" s="607" t="str">
        <f>IF(L177&lt;&gt;0,"Add departmental subsidies in step 5, increase one or more rates, or identify a funding source (plant funds, etc) for implied subsidies.","")</f>
        <v/>
      </c>
      <c r="C178" s="607"/>
      <c r="D178" s="607"/>
      <c r="E178" s="607"/>
      <c r="F178" s="607"/>
      <c r="G178" s="607"/>
      <c r="H178" s="607"/>
      <c r="I178" s="607"/>
      <c r="J178" s="607"/>
      <c r="K178" s="607"/>
      <c r="L178" s="607"/>
      <c r="M178" s="607"/>
      <c r="N178" s="607"/>
      <c r="O178" s="607"/>
      <c r="P178" s="607"/>
      <c r="Q178" s="607"/>
      <c r="R178" s="607"/>
      <c r="S178" s="607"/>
      <c r="T178" s="173"/>
    </row>
    <row r="179" spans="1:25" x14ac:dyDescent="0.2">
      <c r="A179" s="14"/>
      <c r="B179" s="490"/>
      <c r="C179" s="490"/>
      <c r="D179" s="490"/>
      <c r="E179" s="490"/>
      <c r="F179" s="490"/>
      <c r="G179" s="490"/>
      <c r="H179" s="490"/>
      <c r="I179" s="490"/>
      <c r="J179" s="490"/>
      <c r="K179" s="490"/>
      <c r="L179" s="490"/>
      <c r="M179" s="490"/>
      <c r="N179" s="490"/>
      <c r="O179" s="490"/>
      <c r="P179" s="490"/>
      <c r="Q179" s="490"/>
      <c r="R179" s="490"/>
      <c r="S179" s="490"/>
      <c r="T179" s="174"/>
    </row>
    <row r="180" spans="1:25" x14ac:dyDescent="0.2">
      <c r="A180" s="14"/>
      <c r="B180" s="490"/>
      <c r="C180" s="490"/>
      <c r="D180" s="490"/>
      <c r="E180" s="490"/>
      <c r="F180" s="490"/>
      <c r="G180" s="490"/>
      <c r="H180" s="490"/>
      <c r="I180" s="490"/>
      <c r="J180" s="490"/>
      <c r="K180" s="490"/>
      <c r="L180" s="490"/>
      <c r="M180" s="490"/>
      <c r="N180" s="490"/>
      <c r="O180" s="490"/>
      <c r="P180" s="490"/>
      <c r="Q180" s="490"/>
      <c r="R180" s="490"/>
      <c r="S180" s="490"/>
      <c r="T180" s="174"/>
    </row>
    <row r="181" spans="1:25" ht="4.5" customHeight="1" thickBot="1" x14ac:dyDescent="0.25">
      <c r="A181" s="29"/>
      <c r="B181" s="30"/>
      <c r="C181" s="30"/>
      <c r="D181" s="30"/>
      <c r="E181" s="30"/>
      <c r="F181" s="30"/>
      <c r="G181" s="30"/>
      <c r="H181" s="30"/>
      <c r="I181" s="30"/>
      <c r="J181" s="30"/>
      <c r="K181" s="30"/>
      <c r="L181" s="30"/>
      <c r="M181" s="30"/>
      <c r="N181" s="30"/>
      <c r="O181" s="30"/>
      <c r="P181" s="89"/>
      <c r="Q181" s="89"/>
      <c r="R181" s="88"/>
      <c r="S181" s="88"/>
      <c r="T181" s="32"/>
    </row>
    <row r="182" spans="1:25" ht="4.5" customHeight="1" x14ac:dyDescent="0.2">
      <c r="A182" s="175"/>
    </row>
    <row r="183" spans="1:25" s="175" customFormat="1" ht="14.25" customHeight="1" x14ac:dyDescent="0.2">
      <c r="A183" s="600" t="s">
        <v>34</v>
      </c>
      <c r="B183" s="600"/>
      <c r="C183" s="600"/>
      <c r="D183" s="600"/>
      <c r="E183" s="600"/>
      <c r="F183" s="600"/>
      <c r="G183" s="600"/>
      <c r="H183" s="600"/>
      <c r="I183" s="600"/>
      <c r="J183" s="600"/>
      <c r="K183" s="600"/>
      <c r="L183" s="600"/>
      <c r="M183" s="600"/>
      <c r="N183" s="600"/>
      <c r="O183" s="600"/>
      <c r="P183" s="600"/>
      <c r="Q183" s="600"/>
      <c r="R183" s="600"/>
      <c r="S183" s="600"/>
      <c r="T183" s="600"/>
      <c r="Y183" s="7"/>
    </row>
    <row r="184" spans="1:25" s="175" customFormat="1" x14ac:dyDescent="0.2">
      <c r="A184" s="176"/>
      <c r="B184" s="176"/>
      <c r="C184" s="176"/>
      <c r="D184" s="176"/>
      <c r="E184" s="176"/>
      <c r="F184" s="176"/>
      <c r="G184" s="176"/>
      <c r="H184" s="176"/>
      <c r="I184" s="176"/>
      <c r="J184" s="176"/>
      <c r="K184" s="176"/>
      <c r="L184" s="176"/>
      <c r="M184" s="176"/>
      <c r="N184" s="176"/>
      <c r="O184" s="176"/>
      <c r="P184" s="176"/>
      <c r="Q184" s="176"/>
      <c r="R184" s="176"/>
      <c r="S184" s="176"/>
      <c r="T184" s="176"/>
      <c r="Y184" s="7"/>
    </row>
    <row r="185" spans="1:25" s="175" customFormat="1" x14ac:dyDescent="0.2">
      <c r="B185" s="34" t="s">
        <v>67</v>
      </c>
      <c r="C185" s="34"/>
      <c r="D185" s="34"/>
      <c r="E185" s="34"/>
      <c r="F185" s="34"/>
      <c r="G185" s="34"/>
      <c r="H185" s="34"/>
      <c r="I185" s="34"/>
      <c r="J185" s="7"/>
      <c r="K185" s="7"/>
      <c r="L185" s="7"/>
      <c r="M185" s="7"/>
      <c r="N185" s="7"/>
      <c r="O185" s="7"/>
      <c r="P185" s="9"/>
      <c r="Q185" s="9"/>
      <c r="R185" s="10"/>
      <c r="S185" s="10"/>
      <c r="T185" s="10"/>
      <c r="Y185" s="7"/>
    </row>
    <row r="186" spans="1:25" s="175" customFormat="1" ht="51" customHeight="1" x14ac:dyDescent="0.2">
      <c r="A186" s="7"/>
      <c r="B186" s="667"/>
      <c r="C186" s="668"/>
      <c r="D186" s="668"/>
      <c r="E186" s="668"/>
      <c r="F186" s="668"/>
      <c r="G186" s="668"/>
      <c r="H186" s="668"/>
      <c r="I186" s="668"/>
      <c r="J186" s="669"/>
      <c r="K186" s="669"/>
      <c r="L186" s="669"/>
      <c r="M186" s="669"/>
      <c r="N186" s="669"/>
      <c r="O186" s="669"/>
      <c r="P186" s="669"/>
      <c r="Q186" s="669"/>
      <c r="R186" s="669"/>
      <c r="S186" s="670"/>
      <c r="T186" s="177"/>
      <c r="V186" s="7"/>
    </row>
    <row r="187" spans="1:25" ht="3.75" customHeight="1" x14ac:dyDescent="0.2">
      <c r="B187" s="178"/>
      <c r="C187" s="178"/>
      <c r="D187" s="178"/>
      <c r="E187" s="178"/>
      <c r="F187" s="178"/>
      <c r="G187" s="178"/>
      <c r="H187" s="178"/>
      <c r="I187" s="178"/>
      <c r="J187" s="178"/>
      <c r="K187" s="178"/>
      <c r="L187" s="178"/>
      <c r="M187" s="178"/>
      <c r="N187" s="178"/>
      <c r="O187" s="178"/>
      <c r="P187" s="178"/>
      <c r="Q187" s="178"/>
      <c r="R187" s="178"/>
      <c r="S187" s="178"/>
      <c r="T187" s="178"/>
    </row>
    <row r="188" spans="1:25" x14ac:dyDescent="0.2">
      <c r="B188" s="178"/>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row>
    <row r="189" spans="1:25" x14ac:dyDescent="0.2">
      <c r="B189" s="178"/>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row>
    <row r="190" spans="1:25" x14ac:dyDescent="0.2">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row>
    <row r="191" spans="1:25" x14ac:dyDescent="0.2">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row>
    <row r="192" spans="1:25" x14ac:dyDescent="0.2">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row>
    <row r="193" spans="2:24" x14ac:dyDescent="0.2">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row>
    <row r="194" spans="2:24" x14ac:dyDescent="0.2">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row>
    <row r="195" spans="2:24" x14ac:dyDescent="0.2">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row>
    <row r="196" spans="2:24" x14ac:dyDescent="0.2">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row>
    <row r="197" spans="2:24" x14ac:dyDescent="0.2">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row>
    <row r="198" spans="2:24" x14ac:dyDescent="0.2">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row>
    <row r="199" spans="2:24" x14ac:dyDescent="0.2">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row>
    <row r="200" spans="2:24" x14ac:dyDescent="0.2">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row>
    <row r="201" spans="2:24" x14ac:dyDescent="0.2">
      <c r="B201" s="178"/>
      <c r="C201" s="178"/>
      <c r="D201" s="178"/>
      <c r="E201" s="178"/>
      <c r="F201" s="178"/>
      <c r="G201" s="178"/>
      <c r="H201" s="178"/>
      <c r="I201" s="178"/>
      <c r="J201" s="178"/>
      <c r="K201" s="178"/>
      <c r="L201" s="178"/>
      <c r="M201" s="178"/>
      <c r="N201" s="178"/>
      <c r="O201" s="178"/>
      <c r="P201" s="178"/>
      <c r="Q201" s="178"/>
      <c r="R201" s="178"/>
      <c r="S201" s="178"/>
      <c r="T201" s="178"/>
      <c r="U201" s="178"/>
      <c r="V201" s="178"/>
      <c r="W201" s="178"/>
      <c r="X201" s="178"/>
    </row>
    <row r="202" spans="2:24" x14ac:dyDescent="0.2">
      <c r="B202" s="178"/>
      <c r="C202" s="178"/>
      <c r="D202" s="178"/>
      <c r="E202" s="178"/>
      <c r="F202" s="178"/>
      <c r="G202" s="178"/>
      <c r="H202" s="178"/>
      <c r="I202" s="178"/>
      <c r="J202" s="178"/>
      <c r="K202" s="178"/>
      <c r="L202" s="178"/>
      <c r="M202" s="178"/>
      <c r="N202" s="178"/>
      <c r="O202" s="178"/>
      <c r="P202" s="178"/>
      <c r="Q202" s="178"/>
      <c r="R202" s="178"/>
      <c r="S202" s="178"/>
      <c r="T202" s="178"/>
      <c r="U202" s="178"/>
      <c r="V202" s="178"/>
      <c r="W202" s="178"/>
      <c r="X202" s="178"/>
    </row>
    <row r="203" spans="2:24" x14ac:dyDescent="0.2">
      <c r="B203" s="178"/>
      <c r="C203" s="178"/>
      <c r="D203" s="178"/>
      <c r="E203" s="178"/>
      <c r="F203" s="178"/>
      <c r="G203" s="178"/>
      <c r="H203" s="178"/>
      <c r="I203" s="178"/>
      <c r="J203" s="178"/>
      <c r="K203" s="178"/>
      <c r="L203" s="178"/>
      <c r="M203" s="178"/>
      <c r="N203" s="178"/>
      <c r="O203" s="178"/>
      <c r="P203" s="178"/>
      <c r="Q203" s="178"/>
      <c r="R203" s="178"/>
      <c r="S203" s="178"/>
      <c r="T203" s="178"/>
      <c r="U203" s="178"/>
      <c r="V203" s="178"/>
      <c r="W203" s="178"/>
      <c r="X203" s="178"/>
    </row>
    <row r="204" spans="2:24" x14ac:dyDescent="0.2">
      <c r="B204" s="178"/>
      <c r="C204" s="178"/>
      <c r="D204" s="178"/>
      <c r="E204" s="178"/>
      <c r="F204" s="178"/>
      <c r="G204" s="178"/>
      <c r="H204" s="178"/>
      <c r="I204" s="178"/>
      <c r="J204" s="178"/>
      <c r="K204" s="178"/>
      <c r="L204" s="178"/>
      <c r="M204" s="178"/>
      <c r="N204" s="178"/>
      <c r="O204" s="178"/>
      <c r="P204" s="178"/>
      <c r="Q204" s="178"/>
      <c r="R204" s="178"/>
      <c r="S204" s="178"/>
      <c r="T204" s="178"/>
      <c r="U204" s="178"/>
      <c r="V204" s="178"/>
      <c r="W204" s="178"/>
      <c r="X204" s="178"/>
    </row>
    <row r="205" spans="2:24" x14ac:dyDescent="0.2">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row>
    <row r="206" spans="2:24" x14ac:dyDescent="0.2">
      <c r="B206" s="178"/>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row>
    <row r="207" spans="2:24" x14ac:dyDescent="0.2">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row>
    <row r="208" spans="2:24" x14ac:dyDescent="0.2">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row>
    <row r="209" spans="2:24" x14ac:dyDescent="0.2">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row>
    <row r="210" spans="2:24" x14ac:dyDescent="0.2">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row>
    <row r="211" spans="2:24" x14ac:dyDescent="0.2">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row>
    <row r="212" spans="2:24" x14ac:dyDescent="0.2">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row>
    <row r="213" spans="2:24" x14ac:dyDescent="0.2">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row>
    <row r="214" spans="2:24" x14ac:dyDescent="0.2">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row>
    <row r="215" spans="2:24" x14ac:dyDescent="0.2">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row>
    <row r="216" spans="2:24" x14ac:dyDescent="0.2">
      <c r="B216" s="178"/>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178"/>
    </row>
    <row r="217" spans="2:24" x14ac:dyDescent="0.2">
      <c r="B217" s="178"/>
      <c r="C217" s="178"/>
      <c r="D217" s="178"/>
      <c r="E217" s="178"/>
      <c r="F217" s="178"/>
      <c r="G217" s="178"/>
      <c r="H217" s="178"/>
      <c r="I217" s="178"/>
      <c r="J217" s="178"/>
      <c r="K217" s="178"/>
      <c r="L217" s="178"/>
      <c r="M217" s="178"/>
      <c r="N217" s="178"/>
      <c r="O217" s="178"/>
      <c r="P217" s="178"/>
      <c r="Q217" s="178"/>
      <c r="R217" s="178"/>
      <c r="S217" s="178"/>
      <c r="T217" s="178"/>
      <c r="U217" s="178"/>
      <c r="V217" s="178"/>
      <c r="W217" s="178"/>
      <c r="X217" s="178"/>
    </row>
    <row r="218" spans="2:24" x14ac:dyDescent="0.2">
      <c r="B218" s="178"/>
      <c r="C218" s="178"/>
      <c r="D218" s="178"/>
      <c r="E218" s="178"/>
      <c r="F218" s="178"/>
      <c r="G218" s="178"/>
      <c r="H218" s="178"/>
      <c r="I218" s="178"/>
      <c r="J218" s="178"/>
      <c r="K218" s="178"/>
      <c r="L218" s="178"/>
      <c r="M218" s="178"/>
      <c r="N218" s="178"/>
      <c r="O218" s="178"/>
      <c r="P218" s="178"/>
      <c r="Q218" s="178"/>
      <c r="R218" s="178"/>
      <c r="S218" s="178"/>
      <c r="T218" s="178"/>
      <c r="U218" s="178"/>
      <c r="V218" s="178"/>
      <c r="W218" s="178"/>
      <c r="X218" s="178"/>
    </row>
    <row r="219" spans="2:24" x14ac:dyDescent="0.2">
      <c r="B219" s="178"/>
      <c r="C219" s="178"/>
      <c r="D219" s="178"/>
      <c r="E219" s="178"/>
      <c r="F219" s="178"/>
      <c r="G219" s="178"/>
      <c r="H219" s="178"/>
      <c r="I219" s="178"/>
      <c r="J219" s="178"/>
      <c r="K219" s="178"/>
      <c r="L219" s="178"/>
      <c r="M219" s="178"/>
      <c r="N219" s="178"/>
      <c r="O219" s="178"/>
      <c r="P219" s="178"/>
      <c r="Q219" s="178"/>
      <c r="R219" s="178"/>
      <c r="S219" s="178"/>
      <c r="T219" s="178"/>
      <c r="U219" s="178"/>
      <c r="V219" s="178"/>
      <c r="W219" s="178"/>
      <c r="X219" s="178"/>
    </row>
    <row r="220" spans="2:24" x14ac:dyDescent="0.2">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row>
    <row r="221" spans="2:24" x14ac:dyDescent="0.2">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row>
    <row r="222" spans="2:24" x14ac:dyDescent="0.2">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178"/>
    </row>
    <row r="223" spans="2:24" x14ac:dyDescent="0.2">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178"/>
    </row>
    <row r="224" spans="2:24" x14ac:dyDescent="0.2">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8"/>
    </row>
    <row r="225" spans="2:24" x14ac:dyDescent="0.2">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row>
    <row r="226" spans="2:24" x14ac:dyDescent="0.2">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row>
    <row r="227" spans="2:24" x14ac:dyDescent="0.2">
      <c r="B227" s="178"/>
      <c r="C227" s="178"/>
      <c r="D227" s="178"/>
      <c r="E227" s="178"/>
      <c r="F227" s="178"/>
      <c r="G227" s="178"/>
      <c r="H227" s="178"/>
      <c r="I227" s="178"/>
      <c r="J227" s="178"/>
      <c r="K227" s="178"/>
      <c r="L227" s="178"/>
      <c r="M227" s="178"/>
      <c r="N227" s="178"/>
      <c r="O227" s="178"/>
      <c r="P227" s="178"/>
      <c r="Q227" s="178"/>
      <c r="R227" s="178"/>
      <c r="S227" s="178"/>
      <c r="T227" s="178"/>
      <c r="U227" s="178"/>
      <c r="V227" s="178"/>
      <c r="W227" s="178"/>
      <c r="X227" s="178"/>
    </row>
    <row r="228" spans="2:24" x14ac:dyDescent="0.2">
      <c r="B228" s="178"/>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178"/>
    </row>
    <row r="229" spans="2:24" x14ac:dyDescent="0.2">
      <c r="B229" s="178"/>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178"/>
    </row>
    <row r="230" spans="2:24" x14ac:dyDescent="0.2">
      <c r="B230" s="178"/>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178"/>
    </row>
    <row r="231" spans="2:24" x14ac:dyDescent="0.2">
      <c r="B231" s="178"/>
      <c r="C231" s="178"/>
      <c r="D231" s="178"/>
      <c r="E231" s="178"/>
      <c r="F231" s="178"/>
      <c r="G231" s="178"/>
      <c r="H231" s="178"/>
      <c r="I231" s="178"/>
      <c r="J231" s="178"/>
      <c r="K231" s="178"/>
      <c r="L231" s="178"/>
      <c r="M231" s="178"/>
      <c r="N231" s="178"/>
      <c r="O231" s="178"/>
      <c r="P231" s="178"/>
      <c r="Q231" s="178"/>
      <c r="R231" s="178"/>
      <c r="S231" s="178"/>
      <c r="T231" s="178"/>
      <c r="U231" s="178"/>
      <c r="V231" s="178"/>
      <c r="W231" s="178"/>
      <c r="X231" s="178"/>
    </row>
    <row r="232" spans="2:24" x14ac:dyDescent="0.2">
      <c r="B232" s="178"/>
      <c r="C232" s="178"/>
      <c r="D232" s="178"/>
      <c r="E232" s="178"/>
      <c r="F232" s="178"/>
      <c r="G232" s="178"/>
      <c r="H232" s="178"/>
      <c r="I232" s="178"/>
      <c r="J232" s="178"/>
      <c r="K232" s="178"/>
      <c r="L232" s="178"/>
      <c r="M232" s="178"/>
      <c r="N232" s="178"/>
      <c r="O232" s="178"/>
      <c r="P232" s="178"/>
      <c r="Q232" s="178"/>
      <c r="R232" s="178"/>
      <c r="S232" s="178"/>
      <c r="T232" s="178"/>
      <c r="U232" s="178"/>
      <c r="V232" s="178"/>
      <c r="W232" s="178"/>
      <c r="X232" s="178"/>
    </row>
    <row r="233" spans="2:24" x14ac:dyDescent="0.2">
      <c r="B233" s="178"/>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178"/>
    </row>
    <row r="234" spans="2:24" x14ac:dyDescent="0.2">
      <c r="B234" s="178"/>
      <c r="C234" s="178"/>
      <c r="D234" s="178"/>
      <c r="E234" s="178"/>
      <c r="F234" s="178"/>
      <c r="G234" s="178"/>
      <c r="H234" s="178"/>
      <c r="I234" s="178"/>
      <c r="J234" s="178"/>
      <c r="K234" s="178"/>
      <c r="L234" s="178"/>
      <c r="M234" s="178"/>
      <c r="N234" s="178"/>
      <c r="O234" s="178"/>
      <c r="P234" s="178"/>
      <c r="Q234" s="178"/>
      <c r="R234" s="178"/>
      <c r="S234" s="178"/>
      <c r="T234" s="178"/>
      <c r="U234" s="178"/>
      <c r="V234" s="178"/>
      <c r="W234" s="178"/>
      <c r="X234" s="178"/>
    </row>
    <row r="235" spans="2:24" x14ac:dyDescent="0.2">
      <c r="B235" s="178"/>
      <c r="C235" s="178"/>
      <c r="D235" s="178"/>
      <c r="E235" s="178"/>
      <c r="F235" s="178"/>
      <c r="G235" s="178"/>
      <c r="H235" s="178"/>
      <c r="I235" s="178"/>
      <c r="J235" s="178"/>
      <c r="K235" s="178"/>
      <c r="L235" s="178"/>
      <c r="M235" s="178"/>
      <c r="N235" s="178"/>
      <c r="O235" s="178"/>
      <c r="P235" s="178"/>
      <c r="Q235" s="178"/>
      <c r="R235" s="178"/>
      <c r="S235" s="178"/>
      <c r="T235" s="178"/>
      <c r="U235" s="178"/>
      <c r="V235" s="178"/>
      <c r="W235" s="178"/>
      <c r="X235" s="178"/>
    </row>
    <row r="236" spans="2:24" x14ac:dyDescent="0.2">
      <c r="B236" s="178"/>
      <c r="C236" s="178"/>
      <c r="D236" s="178"/>
      <c r="E236" s="178"/>
      <c r="F236" s="178"/>
      <c r="G236" s="178"/>
      <c r="H236" s="178"/>
      <c r="I236" s="178"/>
      <c r="J236" s="178"/>
      <c r="K236" s="178"/>
      <c r="L236" s="178"/>
      <c r="M236" s="178"/>
      <c r="N236" s="178"/>
      <c r="O236" s="178"/>
      <c r="P236" s="178"/>
      <c r="Q236" s="178"/>
      <c r="R236" s="178"/>
      <c r="S236" s="178"/>
      <c r="T236" s="178"/>
      <c r="U236" s="178"/>
      <c r="V236" s="178"/>
      <c r="W236" s="178"/>
      <c r="X236" s="178"/>
    </row>
    <row r="237" spans="2:24" x14ac:dyDescent="0.2">
      <c r="B237" s="178"/>
      <c r="C237" s="178"/>
      <c r="D237" s="178"/>
      <c r="E237" s="178"/>
      <c r="F237" s="178"/>
      <c r="G237" s="178"/>
      <c r="H237" s="178"/>
      <c r="I237" s="178"/>
      <c r="J237" s="178"/>
      <c r="K237" s="178"/>
      <c r="L237" s="178"/>
      <c r="M237" s="178"/>
      <c r="N237" s="178"/>
      <c r="O237" s="178"/>
      <c r="P237" s="178"/>
      <c r="Q237" s="178"/>
      <c r="R237" s="178"/>
      <c r="S237" s="178"/>
      <c r="T237" s="178"/>
      <c r="U237" s="178"/>
      <c r="V237" s="178"/>
      <c r="W237" s="178"/>
      <c r="X237" s="178"/>
    </row>
    <row r="238" spans="2:24" x14ac:dyDescent="0.2">
      <c r="B238" s="178"/>
      <c r="C238" s="178"/>
      <c r="D238" s="178"/>
      <c r="E238" s="178"/>
      <c r="F238" s="178"/>
      <c r="G238" s="178"/>
      <c r="H238" s="178"/>
      <c r="I238" s="178"/>
      <c r="J238" s="178"/>
      <c r="K238" s="178"/>
      <c r="L238" s="178"/>
      <c r="M238" s="178"/>
      <c r="N238" s="178"/>
      <c r="O238" s="178"/>
      <c r="P238" s="178"/>
      <c r="Q238" s="178"/>
      <c r="R238" s="178"/>
      <c r="S238" s="178"/>
      <c r="T238" s="178"/>
      <c r="U238" s="178"/>
      <c r="V238" s="178"/>
      <c r="W238" s="178"/>
      <c r="X238" s="178"/>
    </row>
    <row r="239" spans="2:24" x14ac:dyDescent="0.2">
      <c r="B239" s="178"/>
      <c r="C239" s="178"/>
      <c r="D239" s="178"/>
      <c r="E239" s="178"/>
      <c r="F239" s="178"/>
      <c r="G239" s="178"/>
      <c r="H239" s="178"/>
      <c r="I239" s="178"/>
      <c r="J239" s="178"/>
      <c r="K239" s="178"/>
      <c r="L239" s="178"/>
      <c r="M239" s="178"/>
      <c r="N239" s="178"/>
      <c r="O239" s="178"/>
      <c r="P239" s="178"/>
      <c r="Q239" s="178"/>
      <c r="R239" s="178"/>
      <c r="S239" s="178"/>
      <c r="T239" s="178"/>
      <c r="U239" s="178"/>
      <c r="V239" s="178"/>
      <c r="W239" s="178"/>
      <c r="X239" s="178"/>
    </row>
    <row r="240" spans="2:24" x14ac:dyDescent="0.2">
      <c r="B240" s="178"/>
      <c r="C240" s="178"/>
      <c r="D240" s="178"/>
      <c r="E240" s="178"/>
      <c r="F240" s="178"/>
      <c r="G240" s="178"/>
      <c r="H240" s="178"/>
      <c r="I240" s="178"/>
      <c r="J240" s="178"/>
      <c r="K240" s="178"/>
      <c r="L240" s="178"/>
      <c r="M240" s="178"/>
      <c r="N240" s="178"/>
      <c r="O240" s="178"/>
      <c r="P240" s="178"/>
      <c r="Q240" s="178"/>
      <c r="R240" s="178"/>
      <c r="S240" s="178"/>
      <c r="T240" s="178"/>
      <c r="U240" s="178"/>
      <c r="V240" s="178"/>
      <c r="W240" s="178"/>
      <c r="X240" s="178"/>
    </row>
    <row r="241" spans="2:24" x14ac:dyDescent="0.2">
      <c r="B241" s="178"/>
      <c r="C241" s="178"/>
      <c r="D241" s="178"/>
      <c r="E241" s="178"/>
      <c r="F241" s="178"/>
      <c r="G241" s="178"/>
      <c r="H241" s="178"/>
      <c r="I241" s="178"/>
      <c r="J241" s="178"/>
      <c r="K241" s="178"/>
      <c r="L241" s="178"/>
      <c r="M241" s="178"/>
      <c r="N241" s="178"/>
      <c r="O241" s="178"/>
      <c r="P241" s="178"/>
      <c r="Q241" s="178"/>
      <c r="R241" s="178"/>
      <c r="S241" s="178"/>
      <c r="T241" s="178"/>
      <c r="U241" s="178"/>
      <c r="V241" s="178"/>
      <c r="W241" s="178"/>
      <c r="X241" s="178"/>
    </row>
    <row r="242" spans="2:24" x14ac:dyDescent="0.2">
      <c r="B242" s="178"/>
      <c r="C242" s="178"/>
      <c r="D242" s="178"/>
      <c r="E242" s="178"/>
      <c r="F242" s="178"/>
      <c r="G242" s="178"/>
      <c r="H242" s="178"/>
      <c r="I242" s="178"/>
      <c r="J242" s="178"/>
      <c r="K242" s="178"/>
      <c r="L242" s="178"/>
      <c r="M242" s="178"/>
      <c r="N242" s="178"/>
      <c r="O242" s="178"/>
      <c r="P242" s="178"/>
      <c r="Q242" s="178"/>
      <c r="R242" s="178"/>
      <c r="S242" s="178"/>
      <c r="T242" s="178"/>
      <c r="U242" s="178"/>
      <c r="V242" s="178"/>
      <c r="W242" s="178"/>
      <c r="X242" s="178"/>
    </row>
    <row r="243" spans="2:24" x14ac:dyDescent="0.2">
      <c r="B243" s="178"/>
      <c r="C243" s="178"/>
      <c r="D243" s="178"/>
      <c r="E243" s="178"/>
      <c r="F243" s="178"/>
      <c r="G243" s="178"/>
      <c r="H243" s="178"/>
      <c r="I243" s="178"/>
      <c r="J243" s="178"/>
      <c r="K243" s="178"/>
      <c r="L243" s="178"/>
      <c r="M243" s="178"/>
      <c r="N243" s="178"/>
      <c r="O243" s="178"/>
      <c r="P243" s="178"/>
      <c r="Q243" s="178"/>
      <c r="R243" s="178"/>
      <c r="S243" s="178"/>
      <c r="T243" s="178"/>
      <c r="U243" s="178"/>
      <c r="V243" s="178"/>
      <c r="W243" s="178"/>
      <c r="X243" s="178"/>
    </row>
    <row r="244" spans="2:24" x14ac:dyDescent="0.2">
      <c r="B244" s="178"/>
      <c r="C244" s="178"/>
      <c r="D244" s="178"/>
      <c r="E244" s="178"/>
      <c r="F244" s="178"/>
      <c r="G244" s="178"/>
      <c r="H244" s="178"/>
      <c r="I244" s="178"/>
      <c r="J244" s="178"/>
      <c r="K244" s="178"/>
      <c r="L244" s="178"/>
      <c r="M244" s="178"/>
      <c r="N244" s="178"/>
      <c r="O244" s="178"/>
      <c r="P244" s="178"/>
      <c r="Q244" s="178"/>
      <c r="R244" s="178"/>
      <c r="S244" s="178"/>
      <c r="T244" s="178"/>
      <c r="U244" s="178"/>
      <c r="V244" s="178"/>
      <c r="W244" s="178"/>
      <c r="X244" s="178"/>
    </row>
    <row r="245" spans="2:24" x14ac:dyDescent="0.2">
      <c r="B245" s="178"/>
      <c r="C245" s="178"/>
      <c r="D245" s="178"/>
      <c r="E245" s="178"/>
      <c r="F245" s="178"/>
      <c r="G245" s="178"/>
      <c r="H245" s="178"/>
      <c r="I245" s="178"/>
      <c r="J245" s="178"/>
      <c r="K245" s="178"/>
      <c r="L245" s="178"/>
      <c r="M245" s="178"/>
      <c r="N245" s="178"/>
      <c r="O245" s="178"/>
      <c r="P245" s="178"/>
      <c r="Q245" s="178"/>
      <c r="R245" s="178"/>
      <c r="S245" s="178"/>
      <c r="T245" s="178"/>
      <c r="U245" s="178"/>
      <c r="V245" s="178"/>
      <c r="W245" s="178"/>
      <c r="X245" s="178"/>
    </row>
    <row r="246" spans="2:24" x14ac:dyDescent="0.2">
      <c r="B246" s="178"/>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178"/>
    </row>
    <row r="247" spans="2:24" x14ac:dyDescent="0.2">
      <c r="B247" s="178"/>
      <c r="C247" s="178"/>
      <c r="D247" s="178"/>
      <c r="E247" s="178"/>
      <c r="F247" s="178"/>
      <c r="G247" s="178"/>
      <c r="H247" s="178"/>
      <c r="I247" s="178"/>
      <c r="J247" s="178"/>
      <c r="K247" s="178"/>
      <c r="L247" s="178"/>
      <c r="M247" s="178"/>
      <c r="N247" s="178"/>
      <c r="O247" s="178"/>
      <c r="P247" s="178"/>
      <c r="Q247" s="178"/>
      <c r="R247" s="178"/>
      <c r="S247" s="178"/>
      <c r="T247" s="178"/>
      <c r="U247" s="178"/>
      <c r="V247" s="178"/>
      <c r="W247" s="178"/>
      <c r="X247" s="178"/>
    </row>
    <row r="248" spans="2:24" x14ac:dyDescent="0.2">
      <c r="B248" s="178"/>
      <c r="C248" s="178"/>
      <c r="D248" s="178"/>
      <c r="E248" s="178"/>
      <c r="F248" s="178"/>
      <c r="G248" s="178"/>
      <c r="H248" s="178"/>
      <c r="I248" s="178"/>
      <c r="J248" s="178"/>
      <c r="K248" s="178"/>
      <c r="L248" s="178"/>
      <c r="M248" s="178"/>
      <c r="N248" s="178"/>
      <c r="O248" s="178"/>
      <c r="P248" s="178"/>
      <c r="Q248" s="178"/>
      <c r="R248" s="178"/>
      <c r="S248" s="178"/>
      <c r="T248" s="178"/>
      <c r="U248" s="178"/>
      <c r="V248" s="178"/>
      <c r="W248" s="178"/>
      <c r="X248" s="178"/>
    </row>
    <row r="249" spans="2:24" x14ac:dyDescent="0.2">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row>
    <row r="250" spans="2:24" x14ac:dyDescent="0.2">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row>
    <row r="251" spans="2:24" x14ac:dyDescent="0.2">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row>
    <row r="252" spans="2:24" x14ac:dyDescent="0.2">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row>
    <row r="253" spans="2:24" x14ac:dyDescent="0.2">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row>
    <row r="254" spans="2:24" x14ac:dyDescent="0.2">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row>
    <row r="255" spans="2:24" x14ac:dyDescent="0.2">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row>
    <row r="256" spans="2:24" x14ac:dyDescent="0.2">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row>
    <row r="257" spans="2:24" x14ac:dyDescent="0.2">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row>
    <row r="258" spans="2:24" ht="69.75" customHeight="1" x14ac:dyDescent="0.2">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row>
    <row r="259" spans="2:24" x14ac:dyDescent="0.2">
      <c r="U259" s="178"/>
      <c r="V259" s="178"/>
      <c r="W259" s="178"/>
      <c r="X259" s="178"/>
    </row>
    <row r="323" spans="2:24" x14ac:dyDescent="0.2">
      <c r="B323" s="178"/>
      <c r="C323" s="178"/>
      <c r="D323" s="178"/>
      <c r="E323" s="178"/>
      <c r="F323" s="178"/>
      <c r="G323" s="178"/>
      <c r="H323" s="178"/>
      <c r="I323" s="178"/>
      <c r="J323" s="178"/>
      <c r="K323" s="178"/>
      <c r="L323" s="178"/>
      <c r="M323" s="178"/>
      <c r="N323" s="178"/>
      <c r="O323" s="178"/>
      <c r="P323" s="178"/>
      <c r="Q323" s="178"/>
      <c r="R323" s="178"/>
      <c r="S323" s="178"/>
      <c r="T323" s="178"/>
    </row>
    <row r="324" spans="2:24" x14ac:dyDescent="0.2">
      <c r="B324" s="178"/>
      <c r="C324" s="178"/>
      <c r="D324" s="178"/>
      <c r="E324" s="178"/>
      <c r="F324" s="178"/>
      <c r="G324" s="178"/>
      <c r="H324" s="178"/>
      <c r="I324" s="178"/>
      <c r="J324" s="178"/>
      <c r="K324" s="178"/>
      <c r="L324" s="178"/>
      <c r="M324" s="178"/>
      <c r="N324" s="178"/>
      <c r="O324" s="178"/>
      <c r="P324" s="178"/>
      <c r="Q324" s="178"/>
      <c r="R324" s="178"/>
      <c r="S324" s="178"/>
      <c r="T324" s="178"/>
    </row>
    <row r="325" spans="2:24" x14ac:dyDescent="0.2">
      <c r="B325" s="178"/>
      <c r="C325" s="178"/>
      <c r="D325" s="178"/>
      <c r="E325" s="178"/>
      <c r="F325" s="178"/>
      <c r="G325" s="178"/>
      <c r="H325" s="178"/>
      <c r="I325" s="178"/>
      <c r="J325" s="178"/>
      <c r="K325" s="178"/>
      <c r="L325" s="178"/>
      <c r="M325" s="178"/>
      <c r="N325" s="178"/>
      <c r="O325" s="178"/>
      <c r="P325" s="178"/>
      <c r="Q325" s="178"/>
      <c r="R325" s="178"/>
      <c r="S325" s="178"/>
      <c r="T325" s="178"/>
    </row>
    <row r="326" spans="2:24" x14ac:dyDescent="0.2">
      <c r="B326" s="178"/>
      <c r="C326" s="178"/>
      <c r="D326" s="178"/>
      <c r="E326" s="178"/>
      <c r="F326" s="178"/>
      <c r="G326" s="178"/>
      <c r="H326" s="178"/>
      <c r="I326" s="178"/>
      <c r="J326" s="178"/>
      <c r="K326" s="178"/>
      <c r="L326" s="178"/>
      <c r="M326" s="178"/>
      <c r="N326" s="178"/>
      <c r="O326" s="178"/>
      <c r="P326" s="178"/>
      <c r="Q326" s="178"/>
      <c r="R326" s="178"/>
      <c r="S326" s="178"/>
      <c r="T326" s="178"/>
    </row>
    <row r="327" spans="2:24" x14ac:dyDescent="0.2">
      <c r="B327" s="178"/>
      <c r="C327" s="178"/>
      <c r="D327" s="178"/>
      <c r="E327" s="178"/>
      <c r="F327" s="178"/>
      <c r="G327" s="178"/>
      <c r="H327" s="178"/>
      <c r="I327" s="178"/>
      <c r="J327" s="178"/>
      <c r="K327" s="178"/>
      <c r="L327" s="178"/>
      <c r="M327" s="178"/>
      <c r="N327" s="178"/>
      <c r="O327" s="178"/>
      <c r="P327" s="178"/>
      <c r="Q327" s="178"/>
      <c r="R327" s="178"/>
      <c r="S327" s="178"/>
      <c r="T327" s="178"/>
    </row>
    <row r="328" spans="2:24" x14ac:dyDescent="0.2">
      <c r="B328" s="178"/>
      <c r="C328" s="178"/>
      <c r="D328" s="178"/>
      <c r="E328" s="178"/>
      <c r="F328" s="178"/>
      <c r="G328" s="178"/>
      <c r="H328" s="178"/>
      <c r="I328" s="178"/>
      <c r="J328" s="178"/>
      <c r="K328" s="178"/>
      <c r="L328" s="178"/>
      <c r="M328" s="178"/>
      <c r="N328" s="178"/>
      <c r="O328" s="178"/>
      <c r="P328" s="178"/>
      <c r="Q328" s="178"/>
      <c r="R328" s="178"/>
      <c r="S328" s="178"/>
      <c r="T328" s="178"/>
    </row>
    <row r="329" spans="2:24" x14ac:dyDescent="0.2">
      <c r="B329" s="178"/>
      <c r="C329" s="178"/>
      <c r="D329" s="178"/>
      <c r="E329" s="178"/>
      <c r="F329" s="178"/>
      <c r="G329" s="178"/>
      <c r="H329" s="178"/>
      <c r="I329" s="178"/>
      <c r="J329" s="178"/>
      <c r="K329" s="178"/>
      <c r="L329" s="178"/>
      <c r="M329" s="178"/>
      <c r="N329" s="178"/>
      <c r="O329" s="178"/>
      <c r="P329" s="178"/>
      <c r="Q329" s="178"/>
      <c r="R329" s="178"/>
      <c r="S329" s="178"/>
      <c r="T329" s="178"/>
    </row>
    <row r="330" spans="2:24" x14ac:dyDescent="0.2">
      <c r="B330" s="178"/>
      <c r="C330" s="178"/>
      <c r="D330" s="178"/>
      <c r="E330" s="178"/>
      <c r="F330" s="178"/>
      <c r="G330" s="178"/>
      <c r="H330" s="178"/>
      <c r="I330" s="178"/>
      <c r="J330" s="178"/>
      <c r="K330" s="178"/>
      <c r="L330" s="178"/>
      <c r="M330" s="178"/>
      <c r="N330" s="178"/>
      <c r="O330" s="178"/>
      <c r="P330" s="178"/>
      <c r="Q330" s="178"/>
      <c r="R330" s="178"/>
      <c r="S330" s="178"/>
      <c r="T330" s="178"/>
    </row>
    <row r="331" spans="2:24" x14ac:dyDescent="0.2">
      <c r="B331" s="178"/>
      <c r="C331" s="178"/>
      <c r="D331" s="178"/>
      <c r="E331" s="178"/>
      <c r="F331" s="178"/>
      <c r="G331" s="178"/>
      <c r="H331" s="178"/>
      <c r="I331" s="178"/>
      <c r="J331" s="178"/>
      <c r="K331" s="178"/>
      <c r="L331" s="178"/>
      <c r="M331" s="178"/>
      <c r="N331" s="178"/>
      <c r="O331" s="178"/>
      <c r="P331" s="178"/>
      <c r="Q331" s="178"/>
      <c r="R331" s="178"/>
      <c r="S331" s="178"/>
      <c r="T331" s="178"/>
    </row>
    <row r="332" spans="2:24" x14ac:dyDescent="0.2">
      <c r="B332" s="178"/>
      <c r="C332" s="178"/>
      <c r="D332" s="178"/>
      <c r="E332" s="178"/>
      <c r="F332" s="178"/>
      <c r="G332" s="178"/>
      <c r="H332" s="178"/>
      <c r="I332" s="178"/>
      <c r="J332" s="178"/>
      <c r="K332" s="178"/>
      <c r="L332" s="178"/>
      <c r="M332" s="178"/>
      <c r="N332" s="178"/>
      <c r="O332" s="178"/>
      <c r="P332" s="178"/>
      <c r="Q332" s="178"/>
      <c r="R332" s="178"/>
      <c r="S332" s="178"/>
      <c r="T332" s="178"/>
    </row>
    <row r="333" spans="2:24" x14ac:dyDescent="0.2">
      <c r="B333" s="178"/>
      <c r="C333" s="178"/>
      <c r="D333" s="178"/>
      <c r="E333" s="178"/>
      <c r="F333" s="178"/>
      <c r="G333" s="178"/>
      <c r="H333" s="178"/>
      <c r="I333" s="178"/>
      <c r="J333" s="178"/>
      <c r="K333" s="178"/>
      <c r="L333" s="178"/>
      <c r="M333" s="178"/>
      <c r="N333" s="178"/>
      <c r="O333" s="178"/>
      <c r="P333" s="178"/>
      <c r="Q333" s="178"/>
      <c r="R333" s="178"/>
      <c r="S333" s="178"/>
      <c r="T333" s="178"/>
    </row>
    <row r="334" spans="2:24" x14ac:dyDescent="0.2">
      <c r="B334" s="178"/>
      <c r="C334" s="178"/>
      <c r="D334" s="178"/>
      <c r="E334" s="178"/>
      <c r="F334" s="178"/>
      <c r="G334" s="178"/>
      <c r="H334" s="178"/>
      <c r="I334" s="178"/>
      <c r="J334" s="178"/>
      <c r="K334" s="178"/>
      <c r="L334" s="178"/>
      <c r="M334" s="178"/>
      <c r="N334" s="178"/>
      <c r="O334" s="178"/>
      <c r="P334" s="178"/>
      <c r="Q334" s="178"/>
      <c r="R334" s="178"/>
      <c r="S334" s="178"/>
      <c r="T334" s="178"/>
    </row>
    <row r="335" spans="2:24" x14ac:dyDescent="0.2">
      <c r="B335" s="178"/>
      <c r="C335" s="178"/>
      <c r="D335" s="178"/>
      <c r="E335" s="178"/>
      <c r="F335" s="178"/>
      <c r="G335" s="178"/>
      <c r="H335" s="178"/>
      <c r="I335" s="178"/>
      <c r="J335" s="178"/>
      <c r="K335" s="178"/>
      <c r="L335" s="178"/>
      <c r="M335" s="178"/>
      <c r="N335" s="178"/>
      <c r="O335" s="178"/>
      <c r="P335" s="178"/>
      <c r="Q335" s="178"/>
      <c r="R335" s="178"/>
      <c r="S335" s="178"/>
      <c r="T335" s="178"/>
    </row>
    <row r="336" spans="2:24" x14ac:dyDescent="0.2">
      <c r="B336" s="178"/>
      <c r="C336" s="178"/>
      <c r="D336" s="178"/>
      <c r="E336" s="178"/>
      <c r="F336" s="178"/>
      <c r="G336" s="178"/>
      <c r="H336" s="178"/>
      <c r="I336" s="178"/>
      <c r="J336" s="178"/>
      <c r="K336" s="178"/>
      <c r="L336" s="178"/>
      <c r="M336" s="178"/>
      <c r="N336" s="178"/>
      <c r="O336" s="178"/>
      <c r="P336" s="178"/>
      <c r="Q336" s="178"/>
      <c r="R336" s="178"/>
      <c r="S336" s="178"/>
      <c r="T336" s="178"/>
      <c r="V336" s="178"/>
      <c r="W336" s="178"/>
      <c r="X336" s="178"/>
    </row>
    <row r="337" spans="2:24" x14ac:dyDescent="0.2">
      <c r="B337" s="178"/>
      <c r="C337" s="178"/>
      <c r="D337" s="178"/>
      <c r="E337" s="178"/>
      <c r="F337" s="178"/>
      <c r="G337" s="178"/>
      <c r="H337" s="178"/>
      <c r="I337" s="178"/>
      <c r="J337" s="178"/>
      <c r="K337" s="178"/>
      <c r="L337" s="178"/>
      <c r="M337" s="178"/>
      <c r="N337" s="178"/>
      <c r="O337" s="178"/>
      <c r="P337" s="178"/>
      <c r="Q337" s="178"/>
      <c r="R337" s="178"/>
      <c r="S337" s="178"/>
      <c r="T337" s="178"/>
      <c r="V337" s="178"/>
      <c r="W337" s="178"/>
      <c r="X337" s="178"/>
    </row>
    <row r="338" spans="2:24" x14ac:dyDescent="0.2">
      <c r="B338" s="178"/>
      <c r="C338" s="178"/>
      <c r="D338" s="178"/>
      <c r="E338" s="178"/>
      <c r="F338" s="178"/>
      <c r="G338" s="178"/>
      <c r="H338" s="178"/>
      <c r="I338" s="178"/>
      <c r="J338" s="178"/>
      <c r="K338" s="178"/>
      <c r="L338" s="178"/>
      <c r="M338" s="178"/>
      <c r="N338" s="178"/>
      <c r="O338" s="178"/>
      <c r="P338" s="178"/>
      <c r="Q338" s="178"/>
      <c r="R338" s="178"/>
      <c r="S338" s="178"/>
      <c r="T338" s="178"/>
      <c r="V338" s="178"/>
      <c r="W338" s="178"/>
      <c r="X338" s="178"/>
    </row>
    <row r="339" spans="2:24" x14ac:dyDescent="0.2">
      <c r="B339" s="178"/>
      <c r="C339" s="178"/>
      <c r="D339" s="178"/>
      <c r="E339" s="178"/>
      <c r="F339" s="178"/>
      <c r="G339" s="178"/>
      <c r="H339" s="178"/>
      <c r="I339" s="178"/>
      <c r="J339" s="178"/>
      <c r="K339" s="178"/>
      <c r="L339" s="178"/>
      <c r="M339" s="178"/>
      <c r="N339" s="178"/>
      <c r="O339" s="178"/>
      <c r="P339" s="178"/>
      <c r="Q339" s="178"/>
      <c r="R339" s="178"/>
      <c r="S339" s="178"/>
      <c r="T339" s="178"/>
      <c r="V339" s="178"/>
      <c r="W339" s="178"/>
      <c r="X339" s="178"/>
    </row>
    <row r="340" spans="2:24" x14ac:dyDescent="0.2">
      <c r="B340" s="178"/>
      <c r="C340" s="178"/>
      <c r="D340" s="178"/>
      <c r="E340" s="178"/>
      <c r="F340" s="178"/>
      <c r="G340" s="178"/>
      <c r="H340" s="178"/>
      <c r="I340" s="178"/>
      <c r="J340" s="178"/>
      <c r="K340" s="178"/>
      <c r="L340" s="178"/>
      <c r="M340" s="178"/>
      <c r="N340" s="178"/>
      <c r="O340" s="178"/>
      <c r="P340" s="178"/>
      <c r="Q340" s="178"/>
      <c r="R340" s="178"/>
      <c r="S340" s="178"/>
      <c r="T340" s="178"/>
      <c r="V340" s="178"/>
      <c r="W340" s="178"/>
      <c r="X340" s="178"/>
    </row>
    <row r="341" spans="2:24" x14ac:dyDescent="0.2">
      <c r="B341" s="178"/>
      <c r="C341" s="178"/>
      <c r="D341" s="178"/>
      <c r="E341" s="178"/>
      <c r="F341" s="178"/>
      <c r="G341" s="178"/>
      <c r="H341" s="178"/>
      <c r="I341" s="178"/>
      <c r="J341" s="178"/>
      <c r="K341" s="178"/>
      <c r="L341" s="178"/>
      <c r="M341" s="178"/>
      <c r="N341" s="178"/>
      <c r="O341" s="178"/>
      <c r="P341" s="178"/>
      <c r="Q341" s="178"/>
      <c r="R341" s="178"/>
      <c r="S341" s="178"/>
      <c r="T341" s="178"/>
      <c r="V341" s="178"/>
      <c r="W341" s="178"/>
      <c r="X341" s="178"/>
    </row>
    <row r="342" spans="2:24" x14ac:dyDescent="0.2">
      <c r="B342" s="178"/>
      <c r="C342" s="178"/>
      <c r="D342" s="178"/>
      <c r="E342" s="178"/>
      <c r="F342" s="178"/>
      <c r="G342" s="178"/>
      <c r="H342" s="178"/>
      <c r="I342" s="178"/>
      <c r="J342" s="178"/>
      <c r="K342" s="178"/>
      <c r="L342" s="178"/>
      <c r="M342" s="178"/>
      <c r="N342" s="178"/>
      <c r="O342" s="178"/>
      <c r="P342" s="178"/>
      <c r="Q342" s="178"/>
      <c r="R342" s="178"/>
      <c r="S342" s="178"/>
      <c r="T342" s="178"/>
      <c r="V342" s="178"/>
      <c r="W342" s="178"/>
      <c r="X342" s="178"/>
    </row>
    <row r="343" spans="2:24" x14ac:dyDescent="0.2">
      <c r="B343" s="178"/>
      <c r="C343" s="178"/>
      <c r="D343" s="178"/>
      <c r="E343" s="178"/>
      <c r="F343" s="178"/>
      <c r="G343" s="178"/>
      <c r="H343" s="178"/>
      <c r="I343" s="178"/>
      <c r="J343" s="178"/>
      <c r="K343" s="178"/>
      <c r="L343" s="178"/>
      <c r="M343" s="178"/>
      <c r="N343" s="178"/>
      <c r="O343" s="178"/>
      <c r="P343" s="178"/>
      <c r="Q343" s="178"/>
      <c r="R343" s="178"/>
      <c r="S343" s="178"/>
      <c r="T343" s="178"/>
      <c r="V343" s="178"/>
      <c r="W343" s="178"/>
      <c r="X343" s="178"/>
    </row>
    <row r="344" spans="2:24" x14ac:dyDescent="0.2">
      <c r="B344" s="178"/>
      <c r="C344" s="178"/>
      <c r="D344" s="178"/>
      <c r="E344" s="178"/>
      <c r="F344" s="178"/>
      <c r="G344" s="178"/>
      <c r="H344" s="178"/>
      <c r="I344" s="178"/>
      <c r="J344" s="178"/>
      <c r="K344" s="178"/>
      <c r="L344" s="178"/>
      <c r="M344" s="178"/>
      <c r="N344" s="178"/>
      <c r="O344" s="178"/>
      <c r="P344" s="178"/>
      <c r="Q344" s="178"/>
      <c r="R344" s="178"/>
      <c r="S344" s="178"/>
      <c r="T344" s="178"/>
      <c r="V344" s="178"/>
      <c r="W344" s="178"/>
      <c r="X344" s="178"/>
    </row>
    <row r="345" spans="2:24" x14ac:dyDescent="0.2">
      <c r="B345" s="178"/>
      <c r="C345" s="178"/>
      <c r="D345" s="178"/>
      <c r="E345" s="178"/>
      <c r="F345" s="178"/>
      <c r="G345" s="178"/>
      <c r="H345" s="178"/>
      <c r="I345" s="178"/>
      <c r="J345" s="178"/>
      <c r="K345" s="178"/>
      <c r="L345" s="178"/>
      <c r="M345" s="178"/>
      <c r="N345" s="178"/>
      <c r="O345" s="178"/>
      <c r="P345" s="178"/>
      <c r="Q345" s="178"/>
      <c r="R345" s="178"/>
      <c r="S345" s="178"/>
      <c r="T345" s="178"/>
      <c r="V345" s="178"/>
      <c r="W345" s="178"/>
      <c r="X345" s="178"/>
    </row>
    <row r="346" spans="2:24" x14ac:dyDescent="0.2">
      <c r="B346" s="178"/>
      <c r="C346" s="178"/>
      <c r="D346" s="178"/>
      <c r="E346" s="178"/>
      <c r="F346" s="178"/>
      <c r="G346" s="178"/>
      <c r="H346" s="178"/>
      <c r="I346" s="178"/>
      <c r="J346" s="178"/>
      <c r="K346" s="178"/>
      <c r="L346" s="178"/>
      <c r="M346" s="178"/>
      <c r="N346" s="178"/>
      <c r="O346" s="178"/>
      <c r="P346" s="178"/>
      <c r="Q346" s="178"/>
      <c r="R346" s="178"/>
      <c r="S346" s="178"/>
      <c r="T346" s="178"/>
      <c r="V346" s="178"/>
      <c r="W346" s="178"/>
      <c r="X346" s="178"/>
    </row>
    <row r="347" spans="2:24" x14ac:dyDescent="0.2">
      <c r="B347" s="178"/>
      <c r="C347" s="178"/>
      <c r="D347" s="178"/>
      <c r="E347" s="178"/>
      <c r="F347" s="178"/>
      <c r="G347" s="178"/>
      <c r="H347" s="178"/>
      <c r="I347" s="178"/>
      <c r="J347" s="178"/>
      <c r="K347" s="178"/>
      <c r="L347" s="178"/>
      <c r="M347" s="178"/>
      <c r="N347" s="178"/>
      <c r="O347" s="178"/>
      <c r="P347" s="178"/>
      <c r="Q347" s="178"/>
      <c r="R347" s="178"/>
      <c r="S347" s="178"/>
      <c r="T347" s="178"/>
      <c r="V347" s="178"/>
      <c r="W347" s="178"/>
      <c r="X347" s="178"/>
    </row>
    <row r="348" spans="2:24" x14ac:dyDescent="0.2">
      <c r="B348" s="178"/>
      <c r="C348" s="178"/>
      <c r="D348" s="178"/>
      <c r="E348" s="178"/>
      <c r="F348" s="178"/>
      <c r="G348" s="178"/>
      <c r="H348" s="178"/>
      <c r="I348" s="178"/>
      <c r="J348" s="178"/>
      <c r="K348" s="178"/>
      <c r="L348" s="178"/>
      <c r="M348" s="178"/>
      <c r="N348" s="178"/>
      <c r="O348" s="178"/>
      <c r="P348" s="178"/>
      <c r="Q348" s="178"/>
      <c r="R348" s="178"/>
      <c r="S348" s="178"/>
      <c r="T348" s="178"/>
      <c r="V348" s="178"/>
      <c r="W348" s="178"/>
      <c r="X348" s="178"/>
    </row>
    <row r="349" spans="2:24" x14ac:dyDescent="0.2">
      <c r="B349" s="178"/>
      <c r="C349" s="178"/>
      <c r="D349" s="178"/>
      <c r="E349" s="178"/>
      <c r="F349" s="178"/>
      <c r="G349" s="178"/>
      <c r="H349" s="178"/>
      <c r="I349" s="178"/>
      <c r="J349" s="178"/>
      <c r="K349" s="178"/>
      <c r="L349" s="178"/>
      <c r="M349" s="178"/>
      <c r="N349" s="178"/>
      <c r="O349" s="178"/>
      <c r="P349" s="178"/>
      <c r="Q349" s="178"/>
      <c r="R349" s="178"/>
      <c r="S349" s="178"/>
      <c r="T349" s="178"/>
      <c r="V349" s="178"/>
      <c r="W349" s="178"/>
      <c r="X349" s="178"/>
    </row>
    <row r="350" spans="2:24" x14ac:dyDescent="0.2">
      <c r="B350" s="178"/>
      <c r="C350" s="178"/>
      <c r="D350" s="178"/>
      <c r="E350" s="178"/>
      <c r="F350" s="178"/>
      <c r="G350" s="178"/>
      <c r="H350" s="178"/>
      <c r="I350" s="178"/>
      <c r="J350" s="178"/>
      <c r="K350" s="178"/>
      <c r="L350" s="178"/>
      <c r="M350" s="178"/>
      <c r="N350" s="178"/>
      <c r="O350" s="178"/>
      <c r="P350" s="178"/>
      <c r="Q350" s="178"/>
      <c r="R350" s="178"/>
      <c r="S350" s="178"/>
      <c r="T350" s="178"/>
      <c r="V350" s="178"/>
      <c r="W350" s="178"/>
      <c r="X350" s="178"/>
    </row>
    <row r="351" spans="2:24" x14ac:dyDescent="0.2">
      <c r="B351" s="178"/>
      <c r="C351" s="178"/>
      <c r="D351" s="178"/>
      <c r="E351" s="178"/>
      <c r="F351" s="178"/>
      <c r="G351" s="178"/>
      <c r="H351" s="178"/>
      <c r="I351" s="178"/>
      <c r="J351" s="178"/>
      <c r="K351" s="178"/>
      <c r="L351" s="178"/>
      <c r="M351" s="178"/>
      <c r="N351" s="178"/>
      <c r="O351" s="178"/>
      <c r="P351" s="178"/>
      <c r="Q351" s="178"/>
      <c r="R351" s="178"/>
      <c r="S351" s="178"/>
      <c r="T351" s="178"/>
      <c r="V351" s="178"/>
      <c r="W351" s="178"/>
      <c r="X351" s="178"/>
    </row>
    <row r="352" spans="2:24" x14ac:dyDescent="0.2">
      <c r="B352" s="178"/>
      <c r="C352" s="178"/>
      <c r="D352" s="178"/>
      <c r="E352" s="178"/>
      <c r="F352" s="178"/>
      <c r="G352" s="178"/>
      <c r="H352" s="178"/>
      <c r="I352" s="178"/>
      <c r="J352" s="178"/>
      <c r="K352" s="178"/>
      <c r="L352" s="178"/>
      <c r="M352" s="178"/>
      <c r="N352" s="178"/>
      <c r="O352" s="178"/>
      <c r="P352" s="178"/>
      <c r="Q352" s="178"/>
      <c r="R352" s="178"/>
      <c r="S352" s="178"/>
      <c r="T352" s="178"/>
      <c r="V352" s="178"/>
      <c r="W352" s="178"/>
      <c r="X352" s="178"/>
    </row>
    <row r="353" spans="2:20" x14ac:dyDescent="0.2">
      <c r="B353" s="178"/>
      <c r="C353" s="178"/>
      <c r="D353" s="178"/>
      <c r="E353" s="178"/>
      <c r="F353" s="178"/>
      <c r="G353" s="178"/>
      <c r="H353" s="178"/>
      <c r="I353" s="178"/>
      <c r="J353" s="178"/>
      <c r="K353" s="178"/>
      <c r="L353" s="178"/>
      <c r="M353" s="178"/>
      <c r="N353" s="178"/>
      <c r="O353" s="178"/>
      <c r="P353" s="178"/>
      <c r="Q353" s="178"/>
      <c r="R353" s="178"/>
      <c r="S353" s="178"/>
      <c r="T353" s="178"/>
    </row>
    <row r="354" spans="2:20" x14ac:dyDescent="0.2">
      <c r="B354" s="178"/>
      <c r="C354" s="178"/>
      <c r="D354" s="178"/>
      <c r="E354" s="178"/>
      <c r="F354" s="178"/>
      <c r="G354" s="178"/>
      <c r="H354" s="178"/>
      <c r="I354" s="178"/>
      <c r="J354" s="178"/>
      <c r="K354" s="178"/>
      <c r="L354" s="178"/>
      <c r="M354" s="178"/>
      <c r="N354" s="178"/>
      <c r="O354" s="178"/>
      <c r="P354" s="178"/>
      <c r="Q354" s="178"/>
      <c r="R354" s="178"/>
      <c r="S354" s="178"/>
      <c r="T354" s="178"/>
    </row>
    <row r="355" spans="2:20" x14ac:dyDescent="0.2">
      <c r="B355" s="178"/>
      <c r="C355" s="178"/>
      <c r="D355" s="178"/>
      <c r="E355" s="178"/>
      <c r="F355" s="178"/>
      <c r="G355" s="178"/>
      <c r="H355" s="178"/>
      <c r="I355" s="178"/>
      <c r="J355" s="178"/>
      <c r="K355" s="178"/>
      <c r="L355" s="178"/>
      <c r="M355" s="178"/>
      <c r="N355" s="178"/>
      <c r="O355" s="178"/>
      <c r="P355" s="178"/>
      <c r="Q355" s="178"/>
      <c r="R355" s="178"/>
      <c r="S355" s="178"/>
      <c r="T355" s="178"/>
    </row>
    <row r="356" spans="2:20" x14ac:dyDescent="0.2">
      <c r="B356" s="178"/>
      <c r="C356" s="178"/>
      <c r="D356" s="178"/>
      <c r="E356" s="178"/>
      <c r="F356" s="178"/>
      <c r="G356" s="178"/>
      <c r="H356" s="178"/>
      <c r="I356" s="178"/>
      <c r="J356" s="178"/>
      <c r="K356" s="178"/>
      <c r="L356" s="178"/>
      <c r="M356" s="178"/>
      <c r="N356" s="178"/>
      <c r="O356" s="178"/>
      <c r="P356" s="178"/>
      <c r="Q356" s="178"/>
      <c r="R356" s="178"/>
      <c r="S356" s="178"/>
      <c r="T356" s="178"/>
    </row>
    <row r="357" spans="2:20" x14ac:dyDescent="0.2">
      <c r="B357" s="178"/>
      <c r="C357" s="178"/>
      <c r="D357" s="178"/>
      <c r="E357" s="178"/>
      <c r="F357" s="178"/>
      <c r="G357" s="178"/>
      <c r="H357" s="178"/>
      <c r="I357" s="178"/>
      <c r="J357" s="178"/>
      <c r="K357" s="178"/>
      <c r="L357" s="178"/>
      <c r="M357" s="178"/>
      <c r="N357" s="178"/>
      <c r="O357" s="178"/>
      <c r="P357" s="178"/>
      <c r="Q357" s="178"/>
      <c r="R357" s="178"/>
      <c r="S357" s="178"/>
      <c r="T357" s="178"/>
    </row>
    <row r="358" spans="2:20" x14ac:dyDescent="0.2">
      <c r="B358" s="178"/>
      <c r="C358" s="178"/>
      <c r="D358" s="178"/>
      <c r="E358" s="178"/>
      <c r="F358" s="178"/>
      <c r="G358" s="178"/>
      <c r="H358" s="178"/>
      <c r="I358" s="178"/>
      <c r="J358" s="178"/>
      <c r="K358" s="178"/>
      <c r="L358" s="178"/>
      <c r="M358" s="178"/>
      <c r="N358" s="178"/>
      <c r="O358" s="178"/>
      <c r="P358" s="178"/>
      <c r="Q358" s="178"/>
      <c r="R358" s="178"/>
      <c r="S358" s="178"/>
      <c r="T358" s="178"/>
    </row>
    <row r="359" spans="2:20" x14ac:dyDescent="0.2">
      <c r="B359" s="178"/>
      <c r="C359" s="178"/>
      <c r="D359" s="178"/>
      <c r="E359" s="178"/>
      <c r="F359" s="178"/>
      <c r="G359" s="178"/>
      <c r="H359" s="178"/>
      <c r="I359" s="178"/>
      <c r="J359" s="178"/>
      <c r="K359" s="178"/>
      <c r="L359" s="178"/>
      <c r="M359" s="178"/>
      <c r="N359" s="178"/>
      <c r="O359" s="178"/>
      <c r="P359" s="178"/>
      <c r="Q359" s="178"/>
      <c r="R359" s="178"/>
      <c r="S359" s="178"/>
      <c r="T359" s="178"/>
    </row>
    <row r="360" spans="2:20" x14ac:dyDescent="0.2">
      <c r="B360" s="178"/>
      <c r="C360" s="178"/>
      <c r="D360" s="178"/>
      <c r="E360" s="178"/>
      <c r="F360" s="178"/>
      <c r="G360" s="178"/>
      <c r="H360" s="178"/>
      <c r="I360" s="178"/>
      <c r="J360" s="178"/>
      <c r="K360" s="178"/>
      <c r="L360" s="178"/>
      <c r="M360" s="178"/>
      <c r="N360" s="178"/>
      <c r="O360" s="178"/>
      <c r="P360" s="178"/>
      <c r="Q360" s="178"/>
      <c r="R360" s="178"/>
      <c r="S360" s="178"/>
      <c r="T360" s="178"/>
    </row>
    <row r="361" spans="2:20" x14ac:dyDescent="0.2">
      <c r="B361" s="178"/>
      <c r="C361" s="178"/>
      <c r="D361" s="178"/>
      <c r="E361" s="178"/>
      <c r="F361" s="178"/>
      <c r="G361" s="178"/>
      <c r="H361" s="178"/>
      <c r="I361" s="178"/>
      <c r="J361" s="178"/>
      <c r="K361" s="178"/>
      <c r="L361" s="178"/>
      <c r="M361" s="178"/>
      <c r="N361" s="178"/>
      <c r="O361" s="178"/>
      <c r="P361" s="178"/>
      <c r="Q361" s="178"/>
      <c r="R361" s="178"/>
      <c r="S361" s="178"/>
      <c r="T361" s="178"/>
    </row>
    <row r="362" spans="2:20" x14ac:dyDescent="0.2">
      <c r="B362" s="178"/>
      <c r="C362" s="178"/>
      <c r="D362" s="178"/>
      <c r="E362" s="178"/>
      <c r="F362" s="178"/>
      <c r="G362" s="178"/>
      <c r="H362" s="178"/>
      <c r="I362" s="178"/>
      <c r="J362" s="178"/>
      <c r="K362" s="178"/>
      <c r="L362" s="178"/>
      <c r="M362" s="178"/>
      <c r="N362" s="178"/>
      <c r="O362" s="178"/>
      <c r="P362" s="178"/>
      <c r="Q362" s="178"/>
      <c r="R362" s="178"/>
      <c r="S362" s="178"/>
      <c r="T362" s="178"/>
    </row>
    <row r="363" spans="2:20" x14ac:dyDescent="0.2">
      <c r="B363" s="178"/>
      <c r="C363" s="178"/>
      <c r="D363" s="178"/>
      <c r="E363" s="178"/>
      <c r="F363" s="178"/>
      <c r="G363" s="178"/>
      <c r="H363" s="178"/>
      <c r="I363" s="178"/>
      <c r="J363" s="178"/>
      <c r="K363" s="178"/>
      <c r="L363" s="178"/>
      <c r="M363" s="178"/>
      <c r="N363" s="178"/>
      <c r="O363" s="178"/>
      <c r="P363" s="178"/>
      <c r="Q363" s="178"/>
      <c r="R363" s="178"/>
      <c r="S363" s="178"/>
      <c r="T363" s="178"/>
    </row>
    <row r="364" spans="2:20" x14ac:dyDescent="0.2">
      <c r="B364" s="178"/>
      <c r="C364" s="178"/>
      <c r="D364" s="178"/>
      <c r="E364" s="178"/>
      <c r="F364" s="178"/>
      <c r="G364" s="178"/>
      <c r="H364" s="178"/>
      <c r="I364" s="178"/>
      <c r="J364" s="178"/>
      <c r="K364" s="178"/>
      <c r="L364" s="178"/>
      <c r="M364" s="178"/>
      <c r="N364" s="178"/>
      <c r="O364" s="178"/>
      <c r="P364" s="178"/>
      <c r="Q364" s="178"/>
      <c r="R364" s="178"/>
      <c r="S364" s="178"/>
      <c r="T364" s="178"/>
    </row>
    <row r="365" spans="2:20" x14ac:dyDescent="0.2">
      <c r="B365" s="178"/>
      <c r="C365" s="178"/>
      <c r="D365" s="178"/>
      <c r="E365" s="178"/>
      <c r="F365" s="178"/>
      <c r="G365" s="178"/>
      <c r="H365" s="178"/>
      <c r="I365" s="178"/>
      <c r="J365" s="178"/>
      <c r="K365" s="178"/>
      <c r="L365" s="178"/>
      <c r="M365" s="178"/>
      <c r="N365" s="178"/>
      <c r="O365" s="178"/>
      <c r="P365" s="178"/>
      <c r="Q365" s="178"/>
      <c r="R365" s="178"/>
      <c r="S365" s="178"/>
      <c r="T365" s="178"/>
    </row>
    <row r="366" spans="2:20" x14ac:dyDescent="0.2">
      <c r="B366" s="178"/>
      <c r="C366" s="178"/>
      <c r="D366" s="178"/>
      <c r="E366" s="178"/>
      <c r="F366" s="178"/>
      <c r="G366" s="178"/>
      <c r="H366" s="178"/>
      <c r="I366" s="178"/>
      <c r="J366" s="178"/>
      <c r="K366" s="178"/>
      <c r="L366" s="178"/>
      <c r="M366" s="178"/>
      <c r="N366" s="178"/>
      <c r="O366" s="178"/>
      <c r="P366" s="178"/>
      <c r="Q366" s="178"/>
      <c r="R366" s="178"/>
      <c r="S366" s="178"/>
      <c r="T366" s="178"/>
    </row>
    <row r="367" spans="2:20" x14ac:dyDescent="0.2">
      <c r="B367" s="178"/>
      <c r="C367" s="178"/>
      <c r="D367" s="178"/>
      <c r="E367" s="178"/>
      <c r="F367" s="178"/>
      <c r="G367" s="178"/>
      <c r="H367" s="178"/>
      <c r="I367" s="178"/>
      <c r="J367" s="178"/>
      <c r="K367" s="178"/>
      <c r="L367" s="178"/>
      <c r="M367" s="178"/>
      <c r="N367" s="178"/>
      <c r="O367" s="178"/>
      <c r="P367" s="178"/>
      <c r="Q367" s="178"/>
      <c r="R367" s="178"/>
      <c r="S367" s="178"/>
      <c r="T367" s="178"/>
    </row>
    <row r="368" spans="2:20" x14ac:dyDescent="0.2">
      <c r="B368" s="178"/>
      <c r="C368" s="178"/>
      <c r="D368" s="178"/>
      <c r="E368" s="178"/>
      <c r="F368" s="178"/>
      <c r="G368" s="178"/>
      <c r="H368" s="178"/>
      <c r="I368" s="178"/>
      <c r="J368" s="178"/>
      <c r="K368" s="178"/>
      <c r="L368" s="178"/>
      <c r="M368" s="178"/>
      <c r="N368" s="178"/>
      <c r="O368" s="178"/>
      <c r="P368" s="178"/>
      <c r="Q368" s="178"/>
      <c r="R368" s="178"/>
      <c r="S368" s="178"/>
      <c r="T368" s="178"/>
    </row>
    <row r="369" spans="2:20" x14ac:dyDescent="0.2">
      <c r="B369" s="178"/>
      <c r="C369" s="178"/>
      <c r="D369" s="178"/>
      <c r="E369" s="178"/>
      <c r="F369" s="178"/>
      <c r="G369" s="178"/>
      <c r="H369" s="178"/>
      <c r="I369" s="178"/>
      <c r="J369" s="178"/>
      <c r="K369" s="178"/>
      <c r="L369" s="178"/>
      <c r="M369" s="178"/>
      <c r="N369" s="178"/>
      <c r="O369" s="178"/>
      <c r="P369" s="178"/>
      <c r="Q369" s="178"/>
      <c r="R369" s="178"/>
      <c r="S369" s="178"/>
      <c r="T369" s="178"/>
    </row>
    <row r="370" spans="2:20" x14ac:dyDescent="0.2">
      <c r="B370" s="178"/>
      <c r="C370" s="178"/>
      <c r="D370" s="178"/>
      <c r="E370" s="178"/>
      <c r="F370" s="178"/>
      <c r="G370" s="178"/>
      <c r="H370" s="178"/>
      <c r="I370" s="178"/>
      <c r="J370" s="178"/>
      <c r="K370" s="178"/>
      <c r="L370" s="178"/>
      <c r="M370" s="178"/>
      <c r="N370" s="178"/>
      <c r="O370" s="178"/>
      <c r="P370" s="178"/>
      <c r="Q370" s="178"/>
      <c r="R370" s="178"/>
      <c r="S370" s="178"/>
      <c r="T370" s="178"/>
    </row>
    <row r="371" spans="2:20" x14ac:dyDescent="0.2">
      <c r="B371" s="178"/>
      <c r="C371" s="178"/>
      <c r="D371" s="178"/>
      <c r="E371" s="178"/>
      <c r="F371" s="178"/>
      <c r="G371" s="178"/>
      <c r="H371" s="178"/>
      <c r="I371" s="178"/>
      <c r="J371" s="178"/>
      <c r="K371" s="178"/>
      <c r="L371" s="178"/>
      <c r="M371" s="178"/>
      <c r="N371" s="178"/>
      <c r="O371" s="178"/>
      <c r="P371" s="178"/>
      <c r="Q371" s="178"/>
      <c r="R371" s="178"/>
      <c r="S371" s="178"/>
      <c r="T371" s="178"/>
    </row>
    <row r="372" spans="2:20" x14ac:dyDescent="0.2">
      <c r="B372" s="178"/>
      <c r="C372" s="178"/>
      <c r="D372" s="178"/>
      <c r="E372" s="178"/>
      <c r="F372" s="178"/>
      <c r="G372" s="178"/>
      <c r="H372" s="178"/>
      <c r="I372" s="178"/>
      <c r="J372" s="178"/>
      <c r="K372" s="178"/>
      <c r="L372" s="178"/>
      <c r="M372" s="178"/>
      <c r="N372" s="178"/>
      <c r="O372" s="178"/>
      <c r="P372" s="178"/>
      <c r="Q372" s="178"/>
      <c r="R372" s="178"/>
      <c r="S372" s="178"/>
      <c r="T372" s="178"/>
    </row>
    <row r="373" spans="2:20" x14ac:dyDescent="0.2">
      <c r="B373" s="178"/>
      <c r="C373" s="178"/>
      <c r="D373" s="178"/>
      <c r="E373" s="178"/>
      <c r="F373" s="178"/>
      <c r="G373" s="178"/>
      <c r="H373" s="178"/>
      <c r="I373" s="178"/>
      <c r="J373" s="178"/>
      <c r="K373" s="178"/>
      <c r="L373" s="178"/>
      <c r="M373" s="178"/>
      <c r="N373" s="178"/>
      <c r="O373" s="178"/>
      <c r="P373" s="178"/>
      <c r="Q373" s="178"/>
      <c r="R373" s="178"/>
      <c r="S373" s="178"/>
      <c r="T373" s="178"/>
    </row>
  </sheetData>
  <sheetProtection algorithmName="SHA-512" hashValue="ieFcHqs/KC8D3Q1g7E1gagmBFEN6InR3MoUWINyT48Z2Ke0gzASmok9cK09gcDO40svx0RtuVCOOzsDtdKgvYw==" saltValue="PQp365/cX0Tcr2ymqoz3dg==" spinCount="100000" sheet="1" objects="1" scenarios="1"/>
  <mergeCells count="358">
    <mergeCell ref="L177:M177"/>
    <mergeCell ref="B178:S178"/>
    <mergeCell ref="B179:S180"/>
    <mergeCell ref="A183:T183"/>
    <mergeCell ref="B186:S186"/>
    <mergeCell ref="L169:M169"/>
    <mergeCell ref="L171:M171"/>
    <mergeCell ref="L172:M172"/>
    <mergeCell ref="L173:M173"/>
    <mergeCell ref="L174:M174"/>
    <mergeCell ref="L176:M176"/>
    <mergeCell ref="D167:E167"/>
    <mergeCell ref="F167:G167"/>
    <mergeCell ref="H167:I167"/>
    <mergeCell ref="J167:K167"/>
    <mergeCell ref="L167:M167"/>
    <mergeCell ref="L168:M168"/>
    <mergeCell ref="D164:E164"/>
    <mergeCell ref="F164:G164"/>
    <mergeCell ref="H164:I164"/>
    <mergeCell ref="J164:K164"/>
    <mergeCell ref="L164:M164"/>
    <mergeCell ref="D165:E165"/>
    <mergeCell ref="F165:G165"/>
    <mergeCell ref="H165:I165"/>
    <mergeCell ref="J165:K165"/>
    <mergeCell ref="L165:M165"/>
    <mergeCell ref="D162:E162"/>
    <mergeCell ref="F162:G162"/>
    <mergeCell ref="H162:I162"/>
    <mergeCell ref="J162:K162"/>
    <mergeCell ref="L162:M162"/>
    <mergeCell ref="D163:E163"/>
    <mergeCell ref="F163:G163"/>
    <mergeCell ref="H163:I163"/>
    <mergeCell ref="J163:K163"/>
    <mergeCell ref="L163:M163"/>
    <mergeCell ref="D160:E160"/>
    <mergeCell ref="F160:G160"/>
    <mergeCell ref="H160:I160"/>
    <mergeCell ref="J160:K160"/>
    <mergeCell ref="L160:M160"/>
    <mergeCell ref="D161:E161"/>
    <mergeCell ref="F161:G161"/>
    <mergeCell ref="H161:I161"/>
    <mergeCell ref="J161:K161"/>
    <mergeCell ref="L161:M161"/>
    <mergeCell ref="D158:E158"/>
    <mergeCell ref="F158:G158"/>
    <mergeCell ref="H158:I158"/>
    <mergeCell ref="J158:K158"/>
    <mergeCell ref="L158:M158"/>
    <mergeCell ref="D159:E159"/>
    <mergeCell ref="F159:G159"/>
    <mergeCell ref="H159:I159"/>
    <mergeCell ref="J159:K159"/>
    <mergeCell ref="L159:M159"/>
    <mergeCell ref="D157:E157"/>
    <mergeCell ref="F157:G157"/>
    <mergeCell ref="H157:I157"/>
    <mergeCell ref="J157:K157"/>
    <mergeCell ref="L157:M157"/>
    <mergeCell ref="BA157:BB157"/>
    <mergeCell ref="I144:J144"/>
    <mergeCell ref="I149:J149"/>
    <mergeCell ref="BA150:BB156"/>
    <mergeCell ref="B153:B154"/>
    <mergeCell ref="L153:M153"/>
    <mergeCell ref="L154:M154"/>
    <mergeCell ref="L155:M155"/>
    <mergeCell ref="L156:M156"/>
    <mergeCell ref="F142:G142"/>
    <mergeCell ref="H142:I142"/>
    <mergeCell ref="J142:K142"/>
    <mergeCell ref="L142:M142"/>
    <mergeCell ref="N142:O142"/>
    <mergeCell ref="L143:M143"/>
    <mergeCell ref="N143:O143"/>
    <mergeCell ref="F140:G140"/>
    <mergeCell ref="H140:I140"/>
    <mergeCell ref="J140:K140"/>
    <mergeCell ref="L140:M140"/>
    <mergeCell ref="N140:O140"/>
    <mergeCell ref="F141:G141"/>
    <mergeCell ref="H141:I141"/>
    <mergeCell ref="J141:K141"/>
    <mergeCell ref="L141:M141"/>
    <mergeCell ref="N141:O141"/>
    <mergeCell ref="F138:G138"/>
    <mergeCell ref="H138:I138"/>
    <mergeCell ref="J138:K138"/>
    <mergeCell ref="L138:M138"/>
    <mergeCell ref="N138:O138"/>
    <mergeCell ref="F139:G139"/>
    <mergeCell ref="H139:I139"/>
    <mergeCell ref="J139:K139"/>
    <mergeCell ref="L139:M139"/>
    <mergeCell ref="N139:O139"/>
    <mergeCell ref="F136:G136"/>
    <mergeCell ref="H136:I136"/>
    <mergeCell ref="J136:K136"/>
    <mergeCell ref="L136:M136"/>
    <mergeCell ref="N136:O136"/>
    <mergeCell ref="F137:G137"/>
    <mergeCell ref="H137:I137"/>
    <mergeCell ref="J137:K137"/>
    <mergeCell ref="L137:M137"/>
    <mergeCell ref="N137:O137"/>
    <mergeCell ref="F134:G134"/>
    <mergeCell ref="H134:I134"/>
    <mergeCell ref="J134:K134"/>
    <mergeCell ref="L134:M134"/>
    <mergeCell ref="N134:O134"/>
    <mergeCell ref="F135:G135"/>
    <mergeCell ref="H135:I135"/>
    <mergeCell ref="J135:K135"/>
    <mergeCell ref="L135:M135"/>
    <mergeCell ref="N135:O135"/>
    <mergeCell ref="B126:J126"/>
    <mergeCell ref="L126:M126"/>
    <mergeCell ref="N126:S126"/>
    <mergeCell ref="L127:M127"/>
    <mergeCell ref="N127:S127"/>
    <mergeCell ref="F130:O130"/>
    <mergeCell ref="Q130:S130"/>
    <mergeCell ref="L122:M122"/>
    <mergeCell ref="N122:S122"/>
    <mergeCell ref="B123:J123"/>
    <mergeCell ref="L123:M123"/>
    <mergeCell ref="R123:S123"/>
    <mergeCell ref="V123:Z125"/>
    <mergeCell ref="L124:M124"/>
    <mergeCell ref="B125:J125"/>
    <mergeCell ref="L125:M125"/>
    <mergeCell ref="N125:S125"/>
    <mergeCell ref="L119:M119"/>
    <mergeCell ref="N119:S119"/>
    <mergeCell ref="L120:M120"/>
    <mergeCell ref="N120:S120"/>
    <mergeCell ref="L121:M121"/>
    <mergeCell ref="N121:S121"/>
    <mergeCell ref="L115:M115"/>
    <mergeCell ref="L116:M116"/>
    <mergeCell ref="N116:S116"/>
    <mergeCell ref="N117:S117"/>
    <mergeCell ref="L118:M118"/>
    <mergeCell ref="N118:S118"/>
    <mergeCell ref="L112:M112"/>
    <mergeCell ref="N112:S112"/>
    <mergeCell ref="L113:M113"/>
    <mergeCell ref="N113:S113"/>
    <mergeCell ref="L114:M114"/>
    <mergeCell ref="N114:S114"/>
    <mergeCell ref="L109:M109"/>
    <mergeCell ref="N109:S109"/>
    <mergeCell ref="L110:M110"/>
    <mergeCell ref="N110:S110"/>
    <mergeCell ref="L111:M111"/>
    <mergeCell ref="N111:S111"/>
    <mergeCell ref="L106:M106"/>
    <mergeCell ref="N106:S106"/>
    <mergeCell ref="L107:M107"/>
    <mergeCell ref="N107:S107"/>
    <mergeCell ref="L108:M108"/>
    <mergeCell ref="N108:S108"/>
    <mergeCell ref="L103:M103"/>
    <mergeCell ref="N103:S103"/>
    <mergeCell ref="L104:M104"/>
    <mergeCell ref="N104:S104"/>
    <mergeCell ref="L105:M105"/>
    <mergeCell ref="N105:S105"/>
    <mergeCell ref="L100:M100"/>
    <mergeCell ref="N100:S100"/>
    <mergeCell ref="L101:M101"/>
    <mergeCell ref="N101:S101"/>
    <mergeCell ref="L102:M102"/>
    <mergeCell ref="N102:S102"/>
    <mergeCell ref="L97:M97"/>
    <mergeCell ref="N97:S97"/>
    <mergeCell ref="L98:M98"/>
    <mergeCell ref="N98:S98"/>
    <mergeCell ref="L99:M99"/>
    <mergeCell ref="N99:S99"/>
    <mergeCell ref="L93:M93"/>
    <mergeCell ref="N93:S93"/>
    <mergeCell ref="L94:M94"/>
    <mergeCell ref="N94:S94"/>
    <mergeCell ref="N95:S95"/>
    <mergeCell ref="L96:M96"/>
    <mergeCell ref="N96:S96"/>
    <mergeCell ref="L90:M90"/>
    <mergeCell ref="N90:S90"/>
    <mergeCell ref="L91:M91"/>
    <mergeCell ref="N91:S91"/>
    <mergeCell ref="L92:M92"/>
    <mergeCell ref="N92:S92"/>
    <mergeCell ref="L87:M87"/>
    <mergeCell ref="N87:S87"/>
    <mergeCell ref="L88:M88"/>
    <mergeCell ref="N88:S88"/>
    <mergeCell ref="L89:M89"/>
    <mergeCell ref="N89:S89"/>
    <mergeCell ref="L84:M84"/>
    <mergeCell ref="N84:S84"/>
    <mergeCell ref="L85:M85"/>
    <mergeCell ref="N85:S85"/>
    <mergeCell ref="L86:M86"/>
    <mergeCell ref="N86:S86"/>
    <mergeCell ref="L81:M81"/>
    <mergeCell ref="N81:S81"/>
    <mergeCell ref="L82:M82"/>
    <mergeCell ref="N82:S82"/>
    <mergeCell ref="L83:M83"/>
    <mergeCell ref="N83:S83"/>
    <mergeCell ref="L78:M78"/>
    <mergeCell ref="N78:S78"/>
    <mergeCell ref="L79:M79"/>
    <mergeCell ref="N79:S79"/>
    <mergeCell ref="L80:M80"/>
    <mergeCell ref="N80:S80"/>
    <mergeCell ref="L75:M75"/>
    <mergeCell ref="N75:S75"/>
    <mergeCell ref="L76:M76"/>
    <mergeCell ref="N76:S76"/>
    <mergeCell ref="L77:M77"/>
    <mergeCell ref="N77:S77"/>
    <mergeCell ref="Q70:S70"/>
    <mergeCell ref="V70:X74"/>
    <mergeCell ref="L72:M72"/>
    <mergeCell ref="L73:M73"/>
    <mergeCell ref="B74:J74"/>
    <mergeCell ref="L74:M74"/>
    <mergeCell ref="N74:S74"/>
    <mergeCell ref="F66:G66"/>
    <mergeCell ref="L66:M66"/>
    <mergeCell ref="N66:O66"/>
    <mergeCell ref="P66:Q66"/>
    <mergeCell ref="R66:S66"/>
    <mergeCell ref="L67:M67"/>
    <mergeCell ref="N67:O67"/>
    <mergeCell ref="P67:Q67"/>
    <mergeCell ref="R67:S67"/>
    <mergeCell ref="F64:G64"/>
    <mergeCell ref="L64:M64"/>
    <mergeCell ref="N64:O64"/>
    <mergeCell ref="P64:Q64"/>
    <mergeCell ref="R64:S64"/>
    <mergeCell ref="I65:K65"/>
    <mergeCell ref="L65:S65"/>
    <mergeCell ref="F58:I58"/>
    <mergeCell ref="K58:N58"/>
    <mergeCell ref="P58:S58"/>
    <mergeCell ref="Q61:S61"/>
    <mergeCell ref="L63:M63"/>
    <mergeCell ref="N63:O63"/>
    <mergeCell ref="P63:Q63"/>
    <mergeCell ref="R63:S63"/>
    <mergeCell ref="F56:G56"/>
    <mergeCell ref="H56:I56"/>
    <mergeCell ref="K56:L56"/>
    <mergeCell ref="M56:N56"/>
    <mergeCell ref="P56:Q56"/>
    <mergeCell ref="R56:S56"/>
    <mergeCell ref="H54:I54"/>
    <mergeCell ref="M54:N54"/>
    <mergeCell ref="R54:S54"/>
    <mergeCell ref="H55:I55"/>
    <mergeCell ref="M55:N55"/>
    <mergeCell ref="R55:S55"/>
    <mergeCell ref="R46:S46"/>
    <mergeCell ref="H50:I50"/>
    <mergeCell ref="M50:N50"/>
    <mergeCell ref="R50:S50"/>
    <mergeCell ref="H53:I53"/>
    <mergeCell ref="M53:N53"/>
    <mergeCell ref="R53:S53"/>
    <mergeCell ref="B46:E46"/>
    <mergeCell ref="F46:G46"/>
    <mergeCell ref="H46:I46"/>
    <mergeCell ref="K46:L46"/>
    <mergeCell ref="M46:N46"/>
    <mergeCell ref="P46:Q46"/>
    <mergeCell ref="H44:I44"/>
    <mergeCell ref="M44:N44"/>
    <mergeCell ref="R44:S44"/>
    <mergeCell ref="H45:I45"/>
    <mergeCell ref="M45:N45"/>
    <mergeCell ref="R45:S45"/>
    <mergeCell ref="H40:I40"/>
    <mergeCell ref="M40:N40"/>
    <mergeCell ref="R40:S40"/>
    <mergeCell ref="H43:I43"/>
    <mergeCell ref="M43:N43"/>
    <mergeCell ref="R43:S43"/>
    <mergeCell ref="H34:I34"/>
    <mergeCell ref="M34:N34"/>
    <mergeCell ref="R34:S34"/>
    <mergeCell ref="F35:G35"/>
    <mergeCell ref="H35:I35"/>
    <mergeCell ref="K35:L35"/>
    <mergeCell ref="M35:N35"/>
    <mergeCell ref="P35:Q35"/>
    <mergeCell ref="R35:S35"/>
    <mergeCell ref="H32:I32"/>
    <mergeCell ref="M32:N32"/>
    <mergeCell ref="R32:S32"/>
    <mergeCell ref="F33:G33"/>
    <mergeCell ref="H33:I33"/>
    <mergeCell ref="M33:N33"/>
    <mergeCell ref="R33:S33"/>
    <mergeCell ref="H27:I27"/>
    <mergeCell ref="M27:N27"/>
    <mergeCell ref="R27:S27"/>
    <mergeCell ref="B29:E29"/>
    <mergeCell ref="H29:I29"/>
    <mergeCell ref="M29:N29"/>
    <mergeCell ref="R29:S29"/>
    <mergeCell ref="B25:E25"/>
    <mergeCell ref="H25:I25"/>
    <mergeCell ref="M25:N25"/>
    <mergeCell ref="R25:S25"/>
    <mergeCell ref="B26:E26"/>
    <mergeCell ref="H26:I26"/>
    <mergeCell ref="M26:N26"/>
    <mergeCell ref="R26:S26"/>
    <mergeCell ref="B23:E23"/>
    <mergeCell ref="H23:I23"/>
    <mergeCell ref="M23:N23"/>
    <mergeCell ref="R23:S23"/>
    <mergeCell ref="B24:E24"/>
    <mergeCell ref="H24:I24"/>
    <mergeCell ref="M24:N24"/>
    <mergeCell ref="R24:S24"/>
    <mergeCell ref="R18:S18"/>
    <mergeCell ref="B19:E19"/>
    <mergeCell ref="H19:I19"/>
    <mergeCell ref="M19:N19"/>
    <mergeCell ref="R19:S19"/>
    <mergeCell ref="B21:E21"/>
    <mergeCell ref="H21:I21"/>
    <mergeCell ref="M21:N21"/>
    <mergeCell ref="R21:S21"/>
    <mergeCell ref="A1:T1"/>
    <mergeCell ref="A3:T3"/>
    <mergeCell ref="Q5:S5"/>
    <mergeCell ref="L7:M7"/>
    <mergeCell ref="D9:H9"/>
    <mergeCell ref="M9:Q9"/>
    <mergeCell ref="Q14:S14"/>
    <mergeCell ref="B15:E18"/>
    <mergeCell ref="F16:I16"/>
    <mergeCell ref="K16:N16"/>
    <mergeCell ref="P16:S16"/>
    <mergeCell ref="F17:I17"/>
    <mergeCell ref="K17:N17"/>
    <mergeCell ref="P17:S17"/>
    <mergeCell ref="H18:I18"/>
    <mergeCell ref="M18:N18"/>
  </mergeCells>
  <conditionalFormatting sqref="B179:S180">
    <cfRule type="expression" dxfId="31" priority="24">
      <formula>$L$177&lt;&gt;0</formula>
    </cfRule>
  </conditionalFormatting>
  <conditionalFormatting sqref="H141:I141">
    <cfRule type="expression" dxfId="30" priority="31">
      <formula>((H141&lt;F141)=TRUE)</formula>
    </cfRule>
  </conditionalFormatting>
  <conditionalFormatting sqref="H137:I137">
    <cfRule type="expression" dxfId="29" priority="29">
      <formula>(OR(H137&lt;F137,H137&gt;J137)=TRUE)</formula>
    </cfRule>
  </conditionalFormatting>
  <conditionalFormatting sqref="H139:I139">
    <cfRule type="expression" dxfId="28" priority="30">
      <formula>((H139&lt;F139)=TRUE)</formula>
    </cfRule>
  </conditionalFormatting>
  <conditionalFormatting sqref="C5 C14 C61 C70 C130 C152">
    <cfRule type="containsText" dxfId="27" priority="23" operator="containsText" text="Complete">
      <formula>NOT(ISERROR(SEARCH("Complete",C5)))</formula>
    </cfRule>
  </conditionalFormatting>
  <conditionalFormatting sqref="E64">
    <cfRule type="expression" dxfId="26" priority="22">
      <formula>ISBLANK(F64)=TRUE</formula>
    </cfRule>
  </conditionalFormatting>
  <conditionalFormatting sqref="N149">
    <cfRule type="expression" dxfId="25" priority="21">
      <formula>AND($B$136="yes",SUM($L$137:$L$141)&gt;0)=TRUE</formula>
    </cfRule>
  </conditionalFormatting>
  <conditionalFormatting sqref="R149">
    <cfRule type="expression" dxfId="24" priority="20">
      <formula>AND($B$136="yes",SUM($L$137:$L$141)&gt;0,H135&lt;J135)=TRUE</formula>
    </cfRule>
  </conditionalFormatting>
  <conditionalFormatting sqref="S149">
    <cfRule type="expression" dxfId="23" priority="19">
      <formula>AND($B$136="yes",SUM($L$137:$L$141)&gt;0,H135&lt;J135)=TRUE</formula>
    </cfRule>
  </conditionalFormatting>
  <conditionalFormatting sqref="B135:O135">
    <cfRule type="expression" dxfId="22" priority="8" stopIfTrue="1">
      <formula>($L$67="")=TRUE</formula>
    </cfRule>
  </conditionalFormatting>
  <conditionalFormatting sqref="B137:O137">
    <cfRule type="expression" dxfId="21" priority="25" stopIfTrue="1">
      <formula>($N$67="")=TRUE</formula>
    </cfRule>
  </conditionalFormatting>
  <conditionalFormatting sqref="B139:O139">
    <cfRule type="expression" dxfId="20" priority="26" stopIfTrue="1">
      <formula>($P$67="")=TRUE</formula>
    </cfRule>
  </conditionalFormatting>
  <conditionalFormatting sqref="B141:O141">
    <cfRule type="expression" dxfId="19" priority="27" stopIfTrue="1">
      <formula>($R$67="")=TRUE</formula>
    </cfRule>
  </conditionalFormatting>
  <conditionalFormatting sqref="I149">
    <cfRule type="expression" dxfId="18" priority="32" stopIfTrue="1">
      <formula>(AND(I149&gt;I144,M144="yes")=TRUE)</formula>
    </cfRule>
  </conditionalFormatting>
  <conditionalFormatting sqref="F58:I58 K58:N58 P58:S58">
    <cfRule type="containsText" dxfId="17" priority="17" operator="containsText" text="optional">
      <formula>NOT(ISERROR(SEARCH("optional",F58)))</formula>
    </cfRule>
    <cfRule type="containsText" dxfId="16" priority="18" operator="containsText" text="required">
      <formula>NOT(ISERROR(SEARCH("required",F58)))</formula>
    </cfRule>
  </conditionalFormatting>
  <conditionalFormatting sqref="P58:S58 K58:N58 F58:I58">
    <cfRule type="containsText" dxfId="15" priority="16" operator="containsText" text="choose">
      <formula>NOT(ISERROR(SEARCH("choose",F58)))</formula>
    </cfRule>
  </conditionalFormatting>
  <conditionalFormatting sqref="Q40 L40 G40 L50 Q50">
    <cfRule type="containsText" dxfId="14" priority="15" operator="containsText" text="change">
      <formula>NOT(ISERROR(SEARCH("change",G40)))</formula>
    </cfRule>
  </conditionalFormatting>
  <conditionalFormatting sqref="Q5:S6 Q14:S14 Q61:S61 Q70:S70 Q130:S130">
    <cfRule type="containsText" dxfId="13" priority="14" operator="containsText" text="Complete">
      <formula>NOT(ISERROR(SEARCH("Complete",Q5)))</formula>
    </cfRule>
  </conditionalFormatting>
  <conditionalFormatting sqref="R123:S123">
    <cfRule type="expression" dxfId="12" priority="13">
      <formula>(L123&gt;0)=TRUE</formula>
    </cfRule>
  </conditionalFormatting>
  <conditionalFormatting sqref="P137:P141">
    <cfRule type="containsText" dxfId="11" priority="12" operator="containsText" text="unallowable">
      <formula>NOT(ISERROR(SEARCH("unallowable",P137)))</formula>
    </cfRule>
  </conditionalFormatting>
  <conditionalFormatting sqref="Q5:S5">
    <cfRule type="containsText" dxfId="10" priority="11" operator="containsText" text="Finish">
      <formula>NOT(ISERROR(SEARCH("Finish",Q5)))</formula>
    </cfRule>
  </conditionalFormatting>
  <conditionalFormatting sqref="H40:I40 M50:N50 R50:S50">
    <cfRule type="expression" dxfId="9" priority="9">
      <formula>(I37="optional")</formula>
    </cfRule>
    <cfRule type="expression" dxfId="8" priority="10">
      <formula>(I37="required")</formula>
    </cfRule>
  </conditionalFormatting>
  <conditionalFormatting sqref="H135:I135">
    <cfRule type="expression" dxfId="7" priority="28">
      <formula>OR(H135&lt;F135,H135&gt;J135)</formula>
    </cfRule>
  </conditionalFormatting>
  <conditionalFormatting sqref="I149:J149">
    <cfRule type="expression" dxfId="6" priority="7">
      <formula>(M144="yes")</formula>
    </cfRule>
  </conditionalFormatting>
  <conditionalFormatting sqref="L64:S64">
    <cfRule type="expression" dxfId="5" priority="6">
      <formula>(SUM($L$66:$R$66)&lt;&gt;0)=TRUE</formula>
    </cfRule>
  </conditionalFormatting>
  <conditionalFormatting sqref="L66:S66">
    <cfRule type="expression" dxfId="4" priority="5">
      <formula>(SUM($L$64:$R$64)&lt;&gt;0)=TRUE</formula>
    </cfRule>
  </conditionalFormatting>
  <conditionalFormatting sqref="L173:M173">
    <cfRule type="expression" dxfId="3" priority="4">
      <formula>D161=0</formula>
    </cfRule>
  </conditionalFormatting>
  <conditionalFormatting sqref="F66:G66">
    <cfRule type="expression" dxfId="2" priority="3">
      <formula>(SampleSwitch="yes")</formula>
    </cfRule>
  </conditionalFormatting>
  <conditionalFormatting sqref="F135:K141 G23:G26 L23:L26 Q23:Q26 D159:K159">
    <cfRule type="expression" dxfId="1" priority="2">
      <formula>SampleSwitch="Yes"</formula>
    </cfRule>
  </conditionalFormatting>
  <conditionalFormatting sqref="J137:K137">
    <cfRule type="containsText" dxfId="0" priority="1" operator="containsText" text="max">
      <formula>NOT(ISERROR(SEARCH("max",J137)))</formula>
    </cfRule>
  </conditionalFormatting>
  <hyperlinks>
    <hyperlink ref="S149" location="ExtGain" display="ExtGain" xr:uid="{00000000-0004-0000-0600-000000000000}"/>
    <hyperlink ref="O115" r:id="rId1" xr:uid="{00000000-0004-0000-0600-000001000000}"/>
    <hyperlink ref="BA157" location="'Rate Sheet'!B131" display="Back to the rate sheet" xr:uid="{00000000-0004-0000-0600-000002000000}"/>
    <hyperlink ref="BA157:BB157" location="'Rate Sheet-Sample Data'!B131" display="Back to the rate sheet" xr:uid="{00000000-0004-0000-0600-000003000000}"/>
  </hyperlinks>
  <printOptions horizontalCentered="1"/>
  <pageMargins left="0.5" right="0.5" top="0.5" bottom="0.25" header="0.3" footer="0.3"/>
  <pageSetup scale="69" fitToHeight="0" orientation="portrait"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Control!$B$25:$B$26</xm:f>
          </x14:formula1>
          <xm:sqref>R123:S123</xm:sqref>
        </x14:dataValidation>
        <x14:dataValidation type="list" allowBlank="1" showInputMessage="1" showErrorMessage="1" xr:uid="{00000000-0002-0000-0600-000001000000}">
          <x14:formula1>
            <xm:f>Control!$B$22:$B$23</xm:f>
          </x14:formula1>
          <xm:sqref>L11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5:R31"/>
  <sheetViews>
    <sheetView zoomScaleNormal="100" workbookViewId="0">
      <selection activeCell="P18" sqref="P18"/>
    </sheetView>
  </sheetViews>
  <sheetFormatPr defaultColWidth="9.140625" defaultRowHeight="12.75" x14ac:dyDescent="0.2"/>
  <cols>
    <col min="1" max="1" width="9.140625" style="178"/>
    <col min="2" max="2" width="24.42578125" style="178" customWidth="1"/>
    <col min="3" max="4" width="9.140625" style="178"/>
    <col min="5" max="5" width="29.28515625" style="178" customWidth="1"/>
    <col min="6" max="18" width="9.140625" style="212"/>
    <col min="19" max="16384" width="9.140625" style="178"/>
  </cols>
  <sheetData>
    <row r="5" spans="2:18" x14ac:dyDescent="0.2">
      <c r="B5" s="210" t="s">
        <v>107</v>
      </c>
      <c r="C5" s="211" t="str">
        <f>"FY"&amp;(RIGHT($C$6,2)*1+1)</f>
        <v>FY25</v>
      </c>
    </row>
    <row r="6" spans="2:18" x14ac:dyDescent="0.2">
      <c r="B6" s="213" t="s">
        <v>48</v>
      </c>
      <c r="C6" s="209" t="s">
        <v>60</v>
      </c>
    </row>
    <row r="7" spans="2:18" x14ac:dyDescent="0.2">
      <c r="B7" s="213" t="s">
        <v>49</v>
      </c>
      <c r="C7" s="214" t="str">
        <f>"FY"&amp;(RIGHT($C$6,2)*1-1)</f>
        <v>FY23</v>
      </c>
      <c r="F7" s="215" t="s">
        <v>31</v>
      </c>
      <c r="G7" s="215" t="s">
        <v>30</v>
      </c>
      <c r="H7" s="215" t="s">
        <v>33</v>
      </c>
      <c r="I7" s="215" t="s">
        <v>43</v>
      </c>
      <c r="J7" s="215" t="s">
        <v>44</v>
      </c>
      <c r="K7" s="215" t="s">
        <v>53</v>
      </c>
      <c r="L7" s="215" t="s">
        <v>54</v>
      </c>
      <c r="M7" s="215" t="s">
        <v>55</v>
      </c>
      <c r="N7" s="215" t="s">
        <v>56</v>
      </c>
      <c r="O7" s="215" t="s">
        <v>57</v>
      </c>
      <c r="P7" s="215" t="s">
        <v>58</v>
      </c>
      <c r="Q7" s="215" t="s">
        <v>60</v>
      </c>
      <c r="R7" s="215" t="s">
        <v>61</v>
      </c>
    </row>
    <row r="8" spans="2:18" x14ac:dyDescent="0.2">
      <c r="B8" s="213" t="s">
        <v>50</v>
      </c>
      <c r="C8" s="214" t="str">
        <f>"FY"&amp;(RIGHT($C$6,2)*1-2)</f>
        <v>FY22</v>
      </c>
      <c r="E8" s="216" t="s">
        <v>32</v>
      </c>
    </row>
    <row r="9" spans="2:18" x14ac:dyDescent="0.2">
      <c r="B9" s="213" t="s">
        <v>51</v>
      </c>
      <c r="C9" s="214" t="str">
        <f>"FY"&amp;(RIGHT($C$6,2)*1-3)</f>
        <v>FY21</v>
      </c>
      <c r="E9" s="178" t="s">
        <v>28</v>
      </c>
      <c r="F9" s="223">
        <v>5.1499999999999997E-2</v>
      </c>
      <c r="G9" s="223">
        <v>5.5399999999999998E-2</v>
      </c>
      <c r="H9" s="223">
        <v>6.0100000000000001E-2</v>
      </c>
      <c r="I9" s="223">
        <v>5.7500000000000002E-2</v>
      </c>
      <c r="J9" s="223">
        <v>6.0400000000000002E-2</v>
      </c>
      <c r="K9" s="223">
        <v>6.2899999999999998E-2</v>
      </c>
      <c r="L9" s="404">
        <v>8.5000000000000006E-2</v>
      </c>
      <c r="M9" s="406">
        <v>8.5000000000000006E-2</v>
      </c>
      <c r="N9" s="225">
        <v>8.7499999999999994E-2</v>
      </c>
      <c r="O9" s="225">
        <f t="shared" ref="O9:R9" si="0">N9</f>
        <v>8.7499999999999994E-2</v>
      </c>
      <c r="P9" s="225">
        <v>0</v>
      </c>
      <c r="Q9" s="225">
        <v>8.7499999999999994E-2</v>
      </c>
      <c r="R9" s="225">
        <f t="shared" si="0"/>
        <v>8.7499999999999994E-2</v>
      </c>
    </row>
    <row r="10" spans="2:18" x14ac:dyDescent="0.2">
      <c r="B10" s="217" t="s">
        <v>52</v>
      </c>
      <c r="C10" s="218" t="str">
        <f>"FY"&amp;(RIGHT($C$6,2)*1-4)</f>
        <v>FY20</v>
      </c>
      <c r="E10" s="178" t="s">
        <v>29</v>
      </c>
      <c r="F10" s="223">
        <v>3.8999999999999998E-3</v>
      </c>
      <c r="G10" s="223">
        <v>5.4999999999999997E-3</v>
      </c>
      <c r="H10" s="223">
        <v>5.7000000000000002E-3</v>
      </c>
      <c r="I10" s="223">
        <v>6.8999999999999999E-3</v>
      </c>
      <c r="J10" s="223">
        <v>5.0000000000000001E-3</v>
      </c>
      <c r="K10" s="223">
        <v>5.1000000000000004E-3</v>
      </c>
      <c r="L10" s="404">
        <v>0</v>
      </c>
      <c r="M10" s="406">
        <v>0</v>
      </c>
      <c r="N10" s="225">
        <v>0</v>
      </c>
      <c r="O10" s="225">
        <v>0</v>
      </c>
      <c r="P10" s="225">
        <v>0</v>
      </c>
      <c r="Q10" s="225">
        <v>0</v>
      </c>
      <c r="R10" s="225">
        <v>0</v>
      </c>
    </row>
    <row r="11" spans="2:18" x14ac:dyDescent="0.2">
      <c r="F11" s="223"/>
      <c r="G11" s="223"/>
      <c r="H11" s="223"/>
      <c r="I11" s="223"/>
      <c r="J11" s="223"/>
      <c r="K11" s="223"/>
      <c r="L11" s="219"/>
      <c r="M11" s="219"/>
      <c r="N11" s="219"/>
      <c r="O11" s="219"/>
      <c r="P11" s="219"/>
      <c r="Q11" s="219"/>
      <c r="R11" s="219"/>
    </row>
    <row r="12" spans="2:18" x14ac:dyDescent="0.2">
      <c r="E12" s="216" t="s">
        <v>8</v>
      </c>
      <c r="F12" s="223"/>
      <c r="G12" s="223"/>
      <c r="H12" s="223"/>
      <c r="I12" s="223"/>
      <c r="J12" s="223"/>
      <c r="K12" s="223"/>
      <c r="L12" s="219"/>
      <c r="M12" s="219"/>
      <c r="N12" s="219"/>
      <c r="O12" s="219"/>
      <c r="P12" s="219"/>
      <c r="Q12" s="219"/>
      <c r="R12" s="219"/>
    </row>
    <row r="13" spans="2:18" x14ac:dyDescent="0.2">
      <c r="E13" s="178" t="s">
        <v>16</v>
      </c>
      <c r="F13" s="224">
        <v>0.27500000000000002</v>
      </c>
      <c r="G13" s="224">
        <v>0.28000000000000003</v>
      </c>
      <c r="H13" s="224">
        <v>0.28999999999999998</v>
      </c>
      <c r="I13" s="224">
        <v>0.3</v>
      </c>
      <c r="J13" s="224">
        <v>0.30599999999999999</v>
      </c>
      <c r="K13" s="224">
        <v>0.30299999999999999</v>
      </c>
      <c r="L13" s="405">
        <v>0.29899999999999999</v>
      </c>
      <c r="M13" s="407">
        <v>0.29199999999999998</v>
      </c>
      <c r="N13" s="225">
        <v>0.32500000000000001</v>
      </c>
      <c r="O13" s="225">
        <v>0.307</v>
      </c>
      <c r="P13" s="225">
        <v>0.33900000000000002</v>
      </c>
      <c r="Q13" s="225">
        <v>0.36599999999999999</v>
      </c>
      <c r="R13" s="225">
        <f t="shared" ref="Q13:R13" si="1">Q13</f>
        <v>0.36599999999999999</v>
      </c>
    </row>
    <row r="14" spans="2:18" x14ac:dyDescent="0.2">
      <c r="E14" s="178" t="s">
        <v>15</v>
      </c>
      <c r="F14" s="224">
        <v>0.309</v>
      </c>
      <c r="G14" s="224">
        <v>0.32200000000000001</v>
      </c>
      <c r="H14" s="224">
        <v>0.35799999999999998</v>
      </c>
      <c r="I14" s="224">
        <v>0.373</v>
      </c>
      <c r="J14" s="224">
        <v>0.377</v>
      </c>
      <c r="K14" s="224">
        <v>0.376</v>
      </c>
      <c r="L14" s="405">
        <v>0.36599999999999999</v>
      </c>
      <c r="M14" s="407">
        <v>0.29199999999999998</v>
      </c>
      <c r="N14" s="225">
        <v>0.32500000000000001</v>
      </c>
      <c r="O14" s="225">
        <v>0.307</v>
      </c>
      <c r="P14" s="225">
        <v>0.33900000000000002</v>
      </c>
      <c r="Q14" s="225">
        <v>0.36599999999999999</v>
      </c>
      <c r="R14" s="225">
        <f t="shared" ref="Q14:R14" si="2">Q14</f>
        <v>0.36599999999999999</v>
      </c>
    </row>
    <row r="15" spans="2:18" x14ac:dyDescent="0.2">
      <c r="E15" s="178" t="s">
        <v>42</v>
      </c>
      <c r="F15" s="224">
        <v>0.309</v>
      </c>
      <c r="G15" s="224">
        <v>0.32200000000000001</v>
      </c>
      <c r="H15" s="224">
        <v>0.35799999999999998</v>
      </c>
      <c r="I15" s="224">
        <v>0.373</v>
      </c>
      <c r="J15" s="224">
        <v>0.377</v>
      </c>
      <c r="K15" s="224">
        <v>0.376</v>
      </c>
      <c r="L15" s="405">
        <v>0.36599999999999999</v>
      </c>
      <c r="M15" s="407">
        <v>0.36599999999999999</v>
      </c>
      <c r="N15" s="225">
        <v>0.38</v>
      </c>
      <c r="O15" s="225">
        <v>0.38500000000000001</v>
      </c>
      <c r="P15" s="225">
        <v>0.41399999999999998</v>
      </c>
      <c r="Q15" s="225">
        <v>0.44900000000000001</v>
      </c>
      <c r="R15" s="225">
        <f t="shared" ref="Q15:R15" si="3">Q15</f>
        <v>0.44900000000000001</v>
      </c>
    </row>
    <row r="16" spans="2:18" x14ac:dyDescent="0.2">
      <c r="B16" s="220" t="s">
        <v>9</v>
      </c>
      <c r="E16" s="178" t="s">
        <v>19</v>
      </c>
      <c r="F16" s="224">
        <v>0.309</v>
      </c>
      <c r="G16" s="224">
        <v>0.32200000000000001</v>
      </c>
      <c r="H16" s="224">
        <v>0.35799999999999998</v>
      </c>
      <c r="I16" s="224">
        <v>0.373</v>
      </c>
      <c r="J16" s="224">
        <v>0.377</v>
      </c>
      <c r="K16" s="224">
        <v>0.376</v>
      </c>
      <c r="L16" s="405">
        <v>0.36599999999999999</v>
      </c>
      <c r="M16" s="407">
        <v>0.45</v>
      </c>
      <c r="N16" s="225">
        <v>0.46700000000000003</v>
      </c>
      <c r="O16" s="225">
        <v>0.46100000000000002</v>
      </c>
      <c r="P16" s="225">
        <v>0.50900000000000001</v>
      </c>
      <c r="Q16" s="225">
        <v>0.503</v>
      </c>
      <c r="R16" s="225">
        <f t="shared" ref="Q16:R16" si="4">Q16</f>
        <v>0.503</v>
      </c>
    </row>
    <row r="17" spans="2:18" x14ac:dyDescent="0.2">
      <c r="B17" s="221" t="s">
        <v>45</v>
      </c>
      <c r="E17" s="178" t="s">
        <v>41</v>
      </c>
      <c r="F17" s="224">
        <v>0.106</v>
      </c>
      <c r="G17" s="224">
        <v>0.123</v>
      </c>
      <c r="H17" s="224">
        <v>0.153</v>
      </c>
      <c r="I17" s="224">
        <v>0.16500000000000001</v>
      </c>
      <c r="J17" s="224">
        <v>0.153</v>
      </c>
      <c r="K17" s="224">
        <v>0.14799999999999999</v>
      </c>
      <c r="L17" s="405">
        <v>0.158</v>
      </c>
      <c r="M17" s="407">
        <v>0.16800000000000001</v>
      </c>
      <c r="N17" s="225">
        <v>0.17100000000000001</v>
      </c>
      <c r="O17" s="225">
        <v>0.20699999999999999</v>
      </c>
      <c r="P17" s="225">
        <v>0.224</v>
      </c>
      <c r="Q17" s="225">
        <v>0.24</v>
      </c>
      <c r="R17" s="225">
        <f t="shared" ref="Q17:R17" si="5">Q17</f>
        <v>0.24</v>
      </c>
    </row>
    <row r="18" spans="2:18" x14ac:dyDescent="0.2">
      <c r="B18" s="221" t="s">
        <v>46</v>
      </c>
      <c r="E18" s="178" t="s">
        <v>21</v>
      </c>
      <c r="F18" s="224">
        <v>0.106</v>
      </c>
      <c r="G18" s="224">
        <v>0.123</v>
      </c>
      <c r="H18" s="224">
        <v>0.153</v>
      </c>
      <c r="I18" s="224">
        <v>0.16500000000000001</v>
      </c>
      <c r="J18" s="224">
        <v>0.153</v>
      </c>
      <c r="K18" s="224">
        <v>0.14799999999999999</v>
      </c>
      <c r="L18" s="405">
        <v>0.158</v>
      </c>
      <c r="M18" s="407">
        <v>0.224</v>
      </c>
      <c r="N18" s="225">
        <v>0.22700000000000001</v>
      </c>
      <c r="O18" s="225">
        <v>0.219</v>
      </c>
      <c r="P18" s="225">
        <v>0.214</v>
      </c>
      <c r="Q18" s="225">
        <v>0.14699999999999999</v>
      </c>
      <c r="R18" s="225">
        <f t="shared" ref="Q18:R18" si="6">Q18</f>
        <v>0.14699999999999999</v>
      </c>
    </row>
    <row r="19" spans="2:18" x14ac:dyDescent="0.2">
      <c r="B19" s="221" t="s">
        <v>47</v>
      </c>
      <c r="E19" s="178" t="s">
        <v>17</v>
      </c>
      <c r="F19" s="224">
        <v>7.9000000000000001E-2</v>
      </c>
      <c r="G19" s="224">
        <v>8.3000000000000004E-2</v>
      </c>
      <c r="H19" s="224">
        <v>0.123</v>
      </c>
      <c r="I19" s="224">
        <v>0.13200000000000001</v>
      </c>
      <c r="J19" s="224">
        <v>0.13700000000000001</v>
      </c>
      <c r="K19" s="224">
        <v>0.13600000000000001</v>
      </c>
      <c r="L19" s="405">
        <v>0.12</v>
      </c>
      <c r="M19" s="407">
        <v>3.0000000000000001E-3</v>
      </c>
      <c r="N19" s="225">
        <v>3.0000000000000001E-3</v>
      </c>
      <c r="O19" s="225">
        <v>2E-3</v>
      </c>
      <c r="P19" s="225">
        <v>3.0000000000000001E-3</v>
      </c>
      <c r="Q19" s="225">
        <v>8.0000000000000002E-3</v>
      </c>
      <c r="R19" s="225">
        <f t="shared" ref="Q19:R19" si="7">Q19</f>
        <v>8.0000000000000002E-3</v>
      </c>
    </row>
    <row r="20" spans="2:18" x14ac:dyDescent="0.2">
      <c r="B20" s="222" t="s">
        <v>59</v>
      </c>
      <c r="E20" s="178" t="s">
        <v>9</v>
      </c>
      <c r="F20" s="224">
        <v>0.01</v>
      </c>
      <c r="G20" s="224">
        <v>1.2E-2</v>
      </c>
      <c r="H20" s="224">
        <v>1.0999999999999999E-2</v>
      </c>
      <c r="I20" s="224">
        <v>1.0999999999999999E-2</v>
      </c>
      <c r="J20" s="224">
        <v>1.2E-2</v>
      </c>
      <c r="K20" s="224">
        <v>0.01</v>
      </c>
      <c r="L20" s="405">
        <v>8.0000000000000002E-3</v>
      </c>
      <c r="M20" s="407">
        <v>3.0000000000000001E-3</v>
      </c>
      <c r="N20" s="225">
        <v>3.0000000000000001E-3</v>
      </c>
      <c r="O20" s="225">
        <v>2E-3</v>
      </c>
      <c r="P20" s="225">
        <v>3.0000000000000001E-3</v>
      </c>
      <c r="Q20" s="225">
        <v>8.0000000000000002E-3</v>
      </c>
      <c r="R20" s="225">
        <f t="shared" ref="Q20:R20" si="8">Q20</f>
        <v>8.0000000000000002E-3</v>
      </c>
    </row>
    <row r="22" spans="2:18" x14ac:dyDescent="0.2">
      <c r="B22" s="220" t="s">
        <v>122</v>
      </c>
    </row>
    <row r="23" spans="2:18" x14ac:dyDescent="0.2">
      <c r="B23" s="222" t="s">
        <v>123</v>
      </c>
    </row>
    <row r="24" spans="2:18" x14ac:dyDescent="0.2">
      <c r="C24" s="208"/>
    </row>
    <row r="25" spans="2:18" x14ac:dyDescent="0.2">
      <c r="B25" s="220" t="s">
        <v>132</v>
      </c>
      <c r="C25" s="208"/>
    </row>
    <row r="26" spans="2:18" x14ac:dyDescent="0.2">
      <c r="B26" s="222" t="s">
        <v>133</v>
      </c>
      <c r="C26" s="208"/>
    </row>
    <row r="27" spans="2:18" x14ac:dyDescent="0.2">
      <c r="C27" s="208"/>
    </row>
    <row r="28" spans="2:18" x14ac:dyDescent="0.2">
      <c r="C28" s="208"/>
    </row>
    <row r="29" spans="2:18" x14ac:dyDescent="0.2">
      <c r="C29" s="208"/>
    </row>
    <row r="30" spans="2:18" x14ac:dyDescent="0.2">
      <c r="C30" s="208"/>
    </row>
    <row r="31" spans="2:18" x14ac:dyDescent="0.2">
      <c r="C31" s="208"/>
    </row>
  </sheetData>
  <sheetProtection algorithmName="SHA-512" hashValue="/ZxwnxoYxUcFQ/euR2arkmoPwiLDMLEjiSH+fMe0F3lSaxh9UvlX14Db1ttqKOhoWvmAMMvWcA+HFCRenVCbQw==" saltValue="uN2Oax794TdbZq8ERrQ48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e7c7817-ec34-45ad-9b7e-c4f198f0ca8e" xsi:nil="true"/>
    <lcf76f155ced4ddcb4097134ff3c332f xmlns="94b271c9-ee7f-47ee-a027-60aecbddc7a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00F208A30F3F4996419D32898A3164" ma:contentTypeVersion="16" ma:contentTypeDescription="Create a new document." ma:contentTypeScope="" ma:versionID="ce68aa7e79512426f13b0f0d6ba742b4">
  <xsd:schema xmlns:xsd="http://www.w3.org/2001/XMLSchema" xmlns:xs="http://www.w3.org/2001/XMLSchema" xmlns:p="http://schemas.microsoft.com/office/2006/metadata/properties" xmlns:ns2="94b271c9-ee7f-47ee-a027-60aecbddc7aa" xmlns:ns3="7e7c7817-ec34-45ad-9b7e-c4f198f0ca8e" targetNamespace="http://schemas.microsoft.com/office/2006/metadata/properties" ma:root="true" ma:fieldsID="2aac5bc45607b353a98e1287688e14aa" ns2:_="" ns3:_="">
    <xsd:import namespace="94b271c9-ee7f-47ee-a027-60aecbddc7aa"/>
    <xsd:import namespace="7e7c7817-ec34-45ad-9b7e-c4f198f0ca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b271c9-ee7f-47ee-a027-60aecbddc7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7373dcc-d629-4f14-9a28-796bffe9265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7c7817-ec34-45ad-9b7e-c4f198f0ca8e"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4168357-7c3b-4ebf-a64c-5b3d64efe0b2}" ma:internalName="TaxCatchAll" ma:showField="CatchAllData" ma:web="7e7c7817-ec34-45ad-9b7e-c4f198f0ca8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3AA7E1-828E-439D-832C-DB824708B3CE}">
  <ds:schemaRefs>
    <ds:schemaRef ds:uri="http://schemas.microsoft.com/office/2006/metadata/properties"/>
    <ds:schemaRef ds:uri="http://schemas.microsoft.com/office/infopath/2007/PartnerControls"/>
    <ds:schemaRef ds:uri="7e7c7817-ec34-45ad-9b7e-c4f198f0ca8e"/>
    <ds:schemaRef ds:uri="94b271c9-ee7f-47ee-a027-60aecbddc7aa"/>
  </ds:schemaRefs>
</ds:datastoreItem>
</file>

<file path=customXml/itemProps2.xml><?xml version="1.0" encoding="utf-8"?>
<ds:datastoreItem xmlns:ds="http://schemas.openxmlformats.org/officeDocument/2006/customXml" ds:itemID="{CFCE4F6B-7C2A-4039-A5CA-213E2770CCDF}">
  <ds:schemaRefs>
    <ds:schemaRef ds:uri="http://schemas.microsoft.com/sharepoint/v3/contenttype/forms"/>
  </ds:schemaRefs>
</ds:datastoreItem>
</file>

<file path=customXml/itemProps3.xml><?xml version="1.0" encoding="utf-8"?>
<ds:datastoreItem xmlns:ds="http://schemas.openxmlformats.org/officeDocument/2006/customXml" ds:itemID="{C4EEB7C7-6BD6-435F-B9A5-8216F69D9B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b271c9-ee7f-47ee-a027-60aecbddc7aa"/>
    <ds:schemaRef ds:uri="7e7c7817-ec34-45ad-9b7e-c4f198f0ca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Certification</vt:lpstr>
      <vt:lpstr>Rate Sheet</vt:lpstr>
      <vt:lpstr>Reference</vt:lpstr>
      <vt:lpstr>Sample Sales Worksheet</vt:lpstr>
      <vt:lpstr>Sample Costs Worksheet</vt:lpstr>
      <vt:lpstr>Rate Sheet - Sample</vt:lpstr>
      <vt:lpstr>Control</vt:lpstr>
      <vt:lpstr>ExtGain</vt:lpstr>
      <vt:lpstr>Certification!Print_Area</vt:lpstr>
      <vt:lpstr>Introduction!Print_Area</vt:lpstr>
      <vt:lpstr>'Rate Sheet'!Print_Area</vt:lpstr>
      <vt:lpstr>'Rate Sheet - Sample'!Print_Area</vt:lpstr>
      <vt:lpstr>'Rate Sheet'!Print_Titles</vt:lpstr>
      <vt:lpstr>SampleSwitch</vt:lpstr>
      <vt:lpstr>switch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Leila M McCamey</dc:creator>
  <cp:lastModifiedBy>Christi Walker</cp:lastModifiedBy>
  <cp:lastPrinted>2018-03-08T17:04:35Z</cp:lastPrinted>
  <dcterms:created xsi:type="dcterms:W3CDTF">2013-01-30T17:12:27Z</dcterms:created>
  <dcterms:modified xsi:type="dcterms:W3CDTF">2023-03-27T18:30:56Z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0x010100A800F208A30F3F4996419D32898A3164</vt:lpwstr>
  </property>
  <property fmtid="{D5CDD505-2E9C-101B-9397-08002B2CF9AE}" pid="3" name="Order">
    <vt:r8>100</vt:r8>
  </property>
  <property fmtid="{D5CDD505-2E9C-101B-9397-08002B2CF9AE}" pid="4" name="MediaServiceImageTags">
    <vt:lpwstr/>
  </property>
</Properties>
</file>